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firstSheet="2" activeTab="6"/>
  </bookViews>
  <sheets>
    <sheet name="words" sheetId="1" r:id="rId1"/>
    <sheet name="Instructions" sheetId="2" r:id="rId2"/>
    <sheet name="DATA" sheetId="3" r:id="rId3"/>
    <sheet name="TABLE" sheetId="4" r:id="rId4"/>
    <sheet name="STATEMENT" sheetId="5" r:id="rId5"/>
    <sheet name="Form 16 Page1" sheetId="6" r:id="rId6"/>
    <sheet name="Form 16 Page2" sheetId="7" r:id="rId7"/>
  </sheets>
  <externalReferences>
    <externalReference r:id="rId10"/>
    <externalReference r:id="rId11"/>
    <externalReference r:id="rId12"/>
    <externalReference r:id="rId13"/>
    <externalReference r:id="rId14"/>
  </externalReferences>
  <definedNames>
    <definedName name="D">'[2]DROPDOWN'!$B$1</definedName>
    <definedName name="I">'[3]DROPDOWN'!$B$1</definedName>
    <definedName name="INC">#REF!</definedName>
    <definedName name="J">'[3]DROPDOWN'!$D$1</definedName>
    <definedName name="K">'[3]DROPDOWN'!$G$1</definedName>
    <definedName name="P">'[5]DATA'!$D$20</definedName>
    <definedName name="_xlnm.Print_Area" localSheetId="5">'Form 16 Page1'!$B$1:$N$61</definedName>
    <definedName name="_xlnm.Print_Area" localSheetId="6">'Form 16 Page2'!$B$2:$M$58</definedName>
    <definedName name="_xlnm.Print_Area" localSheetId="4">'STATEMENT'!$B$1:$M$62</definedName>
    <definedName name="SL">'[5]DATA'!#REF!</definedName>
    <definedName name="UTI">#REF!</definedName>
    <definedName name="V">#REF!</definedName>
  </definedNames>
  <calcPr fullCalcOnLoad="1"/>
</workbook>
</file>

<file path=xl/sharedStrings.xml><?xml version="1.0" encoding="utf-8"?>
<sst xmlns="http://schemas.openxmlformats.org/spreadsheetml/2006/main" count="1015" uniqueCount="597">
  <si>
    <t>Forty two</t>
  </si>
  <si>
    <t>2. Rs.20,000/- can be invested in a Financial year to avail deduction under section 80CCF</t>
  </si>
  <si>
    <t>Details of Advance Tax Deductions</t>
  </si>
  <si>
    <t>30 Days - July,10</t>
  </si>
  <si>
    <t>Kum.</t>
  </si>
  <si>
    <t>Two</t>
  </si>
  <si>
    <t>DETAILS OF TAX DEDUCTED AND DEPOSITED INTO CENTRAL GOVERNMENT ACCOUNT</t>
  </si>
  <si>
    <t>h)</t>
  </si>
  <si>
    <t>Increment</t>
  </si>
  <si>
    <t>Twenty four</t>
  </si>
  <si>
    <t>Tax on Income</t>
  </si>
  <si>
    <t>5. However Lock in period is 5 years, after 5 years investor can withdraw money from the bonds</t>
  </si>
  <si>
    <t>Sign--</t>
  </si>
  <si>
    <t>Thirty three</t>
  </si>
  <si>
    <t>Place:</t>
  </si>
  <si>
    <t>j)</t>
  </si>
  <si>
    <t>)</t>
  </si>
  <si>
    <t>Changed CCA</t>
  </si>
  <si>
    <t>80DDB</t>
  </si>
  <si>
    <t>Seventy two</t>
  </si>
  <si>
    <t>Sri.</t>
  </si>
  <si>
    <t>Public Provident Fund</t>
  </si>
  <si>
    <t>Total Under Sections 80G,80E,80DD etc…..</t>
  </si>
  <si>
    <t>Other Arrears Creditted in PF</t>
  </si>
  <si>
    <t>i)</t>
  </si>
  <si>
    <t>Exemption from Conveyance Allowance U/s. 10(14) (i)</t>
  </si>
  <si>
    <t>Income from House Property Rs.</t>
  </si>
  <si>
    <t>Tobe</t>
  </si>
  <si>
    <t>above Rs.8,00,001.          (@ 30%)</t>
  </si>
  <si>
    <t>Any Change mention Month</t>
  </si>
  <si>
    <t>Limit</t>
  </si>
  <si>
    <t>Fifty six</t>
  </si>
  <si>
    <t>Period</t>
  </si>
  <si>
    <t>Ninety seven</t>
  </si>
  <si>
    <t>Payment of medical insurance premia. Deduction is available upto Rs. 10,000</t>
  </si>
  <si>
    <t>( Under Sections 80E,80G,80DD etc )</t>
  </si>
  <si>
    <t>80CCF</t>
  </si>
  <si>
    <t>A.P.G.L.I</t>
  </si>
  <si>
    <t>80CCC</t>
  </si>
  <si>
    <t>AG GPF</t>
  </si>
  <si>
    <t>30 Days - Sept,10</t>
  </si>
  <si>
    <t>Twenty</t>
  </si>
  <si>
    <t>k) Deposits with co-op. Societies.</t>
  </si>
  <si>
    <t>f)</t>
  </si>
  <si>
    <t>Seventy nine</t>
  </si>
  <si>
    <t xml:space="preserve">GIS </t>
  </si>
  <si>
    <t>Ninety five</t>
  </si>
  <si>
    <t>Sept,10</t>
  </si>
  <si>
    <t>(As Per Form No. 12BA, Wherever applicable)</t>
  </si>
  <si>
    <t>Ninety two</t>
  </si>
  <si>
    <t>15 Days - Feb,11</t>
  </si>
  <si>
    <t>80U</t>
  </si>
  <si>
    <t>EWF &amp; SWF</t>
  </si>
  <si>
    <t>PHC</t>
  </si>
  <si>
    <t>1.aggregate amount deductible under section 80c shall not exceed one lakh rupees.</t>
  </si>
  <si>
    <t>Whether living in ---------</t>
  </si>
  <si>
    <t>of Bank</t>
  </si>
  <si>
    <t>Inc</t>
  </si>
  <si>
    <t>Profession Tax U/s 16 (3) B</t>
  </si>
  <si>
    <t>80L</t>
  </si>
  <si>
    <t>Thirty four</t>
  </si>
  <si>
    <t>Four</t>
  </si>
  <si>
    <t>i</t>
  </si>
  <si>
    <t>Thirty nine</t>
  </si>
  <si>
    <t>v</t>
  </si>
  <si>
    <t>g)</t>
  </si>
  <si>
    <t>80C</t>
  </si>
  <si>
    <t>80E</t>
  </si>
  <si>
    <t>Nine</t>
  </si>
  <si>
    <t>80D</t>
  </si>
  <si>
    <t>80G</t>
  </si>
  <si>
    <t>7. Issuer of the Bonds is LIC, IFCI, IDFC and other NBFC classified as infrastructure company.</t>
  </si>
  <si>
    <t>x</t>
  </si>
  <si>
    <t>GHM</t>
  </si>
  <si>
    <t>Smt.</t>
  </si>
  <si>
    <t>Not Availed</t>
  </si>
  <si>
    <t>Promotion</t>
  </si>
  <si>
    <t>Fifty four</t>
  </si>
  <si>
    <t>TOTAL</t>
  </si>
  <si>
    <t>Month</t>
  </si>
  <si>
    <t>LIC (SSS)</t>
  </si>
  <si>
    <t>Jan,11</t>
  </si>
  <si>
    <t>m) Income from U.T.I.</t>
  </si>
  <si>
    <t>Jan,10</t>
  </si>
  <si>
    <t>(i) Industrial Finance Corporation of India;</t>
  </si>
  <si>
    <t>n) Income from Units of Mutual Fund specified under clause (23D) of Sec. 10.</t>
  </si>
  <si>
    <t>Forty five</t>
  </si>
  <si>
    <t>Prom</t>
  </si>
  <si>
    <t>A)</t>
  </si>
  <si>
    <t>Tuition Fee- Two Children</t>
  </si>
  <si>
    <t>Total Salary (2-3)</t>
  </si>
  <si>
    <t>d)</t>
  </si>
  <si>
    <t>Five</t>
  </si>
  <si>
    <t>Repayement of Home Loan Premium</t>
  </si>
  <si>
    <t>Gross Salary………</t>
  </si>
  <si>
    <t>HMA</t>
  </si>
  <si>
    <t>Total Deductions</t>
  </si>
  <si>
    <t>Nil</t>
  </si>
  <si>
    <t>Qualifying</t>
  </si>
  <si>
    <t>Amount</t>
  </si>
  <si>
    <t>Gross Total Income (6+7)</t>
  </si>
  <si>
    <t>ULIP</t>
  </si>
  <si>
    <t>Bpay</t>
  </si>
  <si>
    <t>(iii) the issuer shall also file these along with term sheets to the Infrastructure Division, Department of Economic Affairs, Ministry of Finance within three months from the end of financial year.</t>
  </si>
  <si>
    <t>B)</t>
  </si>
  <si>
    <t>LIC Premium Deducted in Salary Savings Scheme</t>
  </si>
  <si>
    <t>6. After lock in period, Investor can take loan against these Bonds</t>
  </si>
  <si>
    <t>PAN oF Employee</t>
  </si>
  <si>
    <t>Rs.1,90,001 To 5,00,000. (@ 10%)</t>
  </si>
  <si>
    <t>e)</t>
  </si>
  <si>
    <t>GIS</t>
  </si>
  <si>
    <t>January,10 in RPS,2005</t>
  </si>
  <si>
    <t>30 Days - Oct,10</t>
  </si>
  <si>
    <t>A/c (</t>
  </si>
  <si>
    <t>G.I.S</t>
  </si>
  <si>
    <t>Eighty nine</t>
  </si>
  <si>
    <t>ZP GPF</t>
  </si>
  <si>
    <t>Seventy three</t>
  </si>
  <si>
    <t>Addl.</t>
  </si>
  <si>
    <t>TOTAL-----------</t>
  </si>
  <si>
    <t>February,10 in RPS,2010</t>
  </si>
  <si>
    <t>Signature of the DDO</t>
  </si>
  <si>
    <t>Seventy Thousand Six Hundred and Ninety five</t>
  </si>
  <si>
    <t>Name of the Employee</t>
  </si>
  <si>
    <t>DETAILS OF SALARY PAID AND ANY OTHER INCOME AND TAX DEDUCTED</t>
  </si>
  <si>
    <t>b)</t>
  </si>
  <si>
    <t>8Years</t>
  </si>
  <si>
    <t>Contribution to Pension Fund</t>
  </si>
  <si>
    <t>vocher/chalana</t>
  </si>
  <si>
    <t>Entertainment Allowence</t>
  </si>
  <si>
    <t>PLI</t>
  </si>
  <si>
    <t>Eleven</t>
  </si>
  <si>
    <t>DA</t>
  </si>
  <si>
    <t xml:space="preserve">Leaving in </t>
  </si>
  <si>
    <t>S.No</t>
  </si>
  <si>
    <t>Relief under section 89 (attach details)</t>
  </si>
  <si>
    <t>Subcrsiption</t>
  </si>
  <si>
    <t>Sorren</t>
  </si>
  <si>
    <t>(as per Form No. 12BA, Wherver applicable)</t>
  </si>
  <si>
    <t>Section 80C</t>
  </si>
  <si>
    <t>Total Advance Tax    Rs.</t>
  </si>
  <si>
    <t>Acknowledgement Nos. of all quarterly statements of TDS under sub-section 200 as provided by TIN Facilitation Center or NSDL web-site.</t>
  </si>
  <si>
    <t>30 Days - Jan,11</t>
  </si>
  <si>
    <t>c)</t>
  </si>
  <si>
    <t>Repayment of Home Loan installments</t>
  </si>
  <si>
    <t>Ninety eight</t>
  </si>
  <si>
    <t>Eighty two</t>
  </si>
  <si>
    <t>Deduction of Rs. 40,000 in respect of a) expenditure incurred on medical treatment, (including nursing), training and rehabi­litation of a handicapped dependent relative.</t>
  </si>
  <si>
    <t>Expenditure must be actually incurred by resident assessee on himself or dependant relative for medical treatment of specified disease or ailment. The diseases have been specified in Rule HDD. A certificate in form 101 is to be furnished by the assessee from any registered doctor</t>
  </si>
  <si>
    <t>Twenty five</t>
  </si>
  <si>
    <t>Deduction of Rs. 40,000/- to an individual who suffers from a physical disability (including blindness) or mental retardation</t>
  </si>
  <si>
    <t>Tober</t>
  </si>
  <si>
    <t>(b) Issuer of the bond – The bond shall be issued by :-</t>
  </si>
  <si>
    <t xml:space="preserve"> Thousand </t>
  </si>
  <si>
    <t>Ninety six</t>
  </si>
  <si>
    <t>30 Days - Nov,10</t>
  </si>
  <si>
    <t>Deductible</t>
  </si>
  <si>
    <t>SAVINGS</t>
  </si>
  <si>
    <t>iii</t>
  </si>
  <si>
    <t>Medical Bills Exemted</t>
  </si>
  <si>
    <t>If Yes Promotion Taken on</t>
  </si>
  <si>
    <t>Rs.5,00,001 To 8,00,000.   (@ 20%)</t>
  </si>
  <si>
    <t>Certificate should be obtained from a Govt. Doctor. The relevant rule is Rule 11D.</t>
  </si>
  <si>
    <t xml:space="preserve">Add. </t>
  </si>
  <si>
    <t>Upto</t>
  </si>
  <si>
    <t>Ten</t>
  </si>
  <si>
    <t>NAME AND DESIGNATION OF THE EMPLOYEE</t>
  </si>
  <si>
    <t>Cheque/DD</t>
  </si>
  <si>
    <t>(a) Name of the bond – The name of the bond shall be “Long-term Infrastructure Bond”.</t>
  </si>
  <si>
    <t>Signature of the Employee</t>
  </si>
  <si>
    <t>Fifteen</t>
  </si>
  <si>
    <t>Eighty five</t>
  </si>
  <si>
    <t>Expenditure on medical treatment S.Citizen</t>
  </si>
  <si>
    <t>Already</t>
  </si>
  <si>
    <t>sixty</t>
  </si>
  <si>
    <t>Forty three</t>
  </si>
  <si>
    <t>15 Days - Dec,10</t>
  </si>
  <si>
    <t>LIC Insurance premiums</t>
  </si>
  <si>
    <t>(g) End-use of proceeds and reporting or monitoring mechanism – (i) The proceeds shall be utilizes towards ‘ infrastructure lending’ as defined by the Reserve Bank of India in the Guidelines : issued by it.</t>
  </si>
  <si>
    <t>Surrender Leave</t>
  </si>
  <si>
    <t>Sixteen</t>
  </si>
  <si>
    <t>Certificate under section 203 of the Income-tax Act, 1961                                                                                                                    for Tax deducted at source from income chargeable under the head "Salaries"</t>
  </si>
  <si>
    <t>Sixty eight</t>
  </si>
  <si>
    <t>Signature of the Drawing Officer</t>
  </si>
  <si>
    <t>Deduction in respect of repayment of loan taken upto Rs. 40,000 per year.</t>
  </si>
  <si>
    <t>Add: Income From other sources</t>
  </si>
  <si>
    <t>The premium is to be paid by cheque and the insurance scheme should be framed by the General Insurance Corporation of India &amp; approved by the Central Govt. or any other insurer and approved by the regulatory authority &amp; Development authority.The premium should be paid in respect of health insurance of the assessee or his family members</t>
  </si>
  <si>
    <t>Deductions from Salary Income</t>
  </si>
  <si>
    <t>Forty four</t>
  </si>
  <si>
    <t>Twelve</t>
  </si>
  <si>
    <t>Others</t>
  </si>
  <si>
    <t>Education Cess @ 1% (On Tax at  S.No.12 )</t>
  </si>
  <si>
    <t>Unit Linked Insurance Plan</t>
  </si>
  <si>
    <t>Other Sections Under Chapter VI A</t>
  </si>
  <si>
    <t>TAN No. of DDO</t>
  </si>
  <si>
    <t>TAX PAYABLE (12+13+14)</t>
  </si>
  <si>
    <t>Eight</t>
  </si>
  <si>
    <t>Fifty five</t>
  </si>
  <si>
    <t>TDS</t>
  </si>
  <si>
    <t>Record Asst.</t>
  </si>
  <si>
    <t>APGLI</t>
  </si>
  <si>
    <t>PLI Annual Premuim</t>
  </si>
  <si>
    <t>Gross Total</t>
  </si>
  <si>
    <t xml:space="preserve">b) NSC, VI, VII &amp; VIII issues </t>
  </si>
  <si>
    <t>HRA Recived</t>
  </si>
  <si>
    <t>Advance Tax Paid</t>
  </si>
  <si>
    <t>Total Tax Payable (15+16+17)</t>
  </si>
  <si>
    <t>Signature of the Assese</t>
  </si>
  <si>
    <t>Dec</t>
  </si>
  <si>
    <t>Mandal</t>
  </si>
  <si>
    <t>Seventy one</t>
  </si>
  <si>
    <t>Pay</t>
  </si>
  <si>
    <t>E.L Surrender</t>
  </si>
  <si>
    <t>Ninety</t>
  </si>
  <si>
    <t>Eighty four</t>
  </si>
  <si>
    <t>No</t>
  </si>
  <si>
    <t>Postal LIC Premium Paid</t>
  </si>
  <si>
    <t>Designation-</t>
  </si>
  <si>
    <t>HRA Received</t>
  </si>
  <si>
    <t>15 Days - Jan,11</t>
  </si>
  <si>
    <t>Twenty eight</t>
  </si>
  <si>
    <t>Assessment year</t>
  </si>
  <si>
    <t>Seventy</t>
  </si>
  <si>
    <t>30 Days - Aug,10</t>
  </si>
  <si>
    <t>Fifty seven</t>
  </si>
  <si>
    <t xml:space="preserve"> (b)Tax paid by the employer on behalf of the</t>
  </si>
  <si>
    <t>(iii) ‘Investment’ for the purposes of this limit include loans, bonds, other forms of debt, quasi-equity, preference equity and equity.</t>
  </si>
  <si>
    <t>BSR Code</t>
  </si>
  <si>
    <t>(iv) the bond shall also be allowed as pledge or lien or hypothecation for obtaining loans from Scheduled Commercial Banks, after the said lock-in period;</t>
  </si>
  <si>
    <t>Education Cess @ 1%</t>
  </si>
  <si>
    <t>Seven</t>
  </si>
  <si>
    <t>Twenty nine</t>
  </si>
  <si>
    <t>Rs. 9000 plus an addition deduction of Rs. 3000 allowed in respect of interest on any Central/State Govt. Securities</t>
  </si>
  <si>
    <t>Up to Rs. 1,60,000</t>
  </si>
  <si>
    <t>PHC (CA)</t>
  </si>
  <si>
    <t>Profits in lieu of salary under section 17(3)</t>
  </si>
  <si>
    <t>Eighteen</t>
  </si>
  <si>
    <t>Langauge Pandit</t>
  </si>
  <si>
    <t>Nov,10</t>
  </si>
  <si>
    <t>viii</t>
  </si>
  <si>
    <t>(ii) Rs. 2,000 per month</t>
  </si>
  <si>
    <t>Seventy seven</t>
  </si>
  <si>
    <t xml:space="preserve">5 Years Fixed Deposits </t>
  </si>
  <si>
    <t>15 Days - July,10</t>
  </si>
  <si>
    <t>This provision has been introduced to provide relief to students taking loans for higher studies. The repayment of the principal amount of loan and interest thereon will be allowed as deduction upto Rs. 3.2 lakhs over a period of 8 years.</t>
  </si>
  <si>
    <t>H.R.A. Exemption as per eligibility U/s. 10(13-A)</t>
  </si>
  <si>
    <t>Tax on Employment</t>
  </si>
  <si>
    <t>E.W.F, &amp; S.W.F</t>
  </si>
  <si>
    <t>Twenty two</t>
  </si>
  <si>
    <t>IR</t>
  </si>
  <si>
    <t>Fifty two</t>
  </si>
  <si>
    <t>Twenty six</t>
  </si>
  <si>
    <t>Ninety nine</t>
  </si>
  <si>
    <t>Eighty one</t>
  </si>
  <si>
    <t>(iii) after the lock in, the investor may exit either through the secondary market or through a buyback facility, specified by the issuer in the issue document at the time of issue;</t>
  </si>
  <si>
    <t>PF Subscription</t>
  </si>
  <si>
    <t>Interest on Educational Loan</t>
  </si>
  <si>
    <t>LIC / UTI  etc. Pension funds</t>
  </si>
  <si>
    <t>Ninety one</t>
  </si>
  <si>
    <t>i)     Deposits   with     financial corporations approved by Central Government </t>
  </si>
  <si>
    <t>Thirty one</t>
  </si>
  <si>
    <t>Donations to certain funds,charitable institutions etc.</t>
  </si>
  <si>
    <t>Name of the DDO</t>
  </si>
  <si>
    <t>Sixty four</t>
  </si>
  <si>
    <t>rupees Only</t>
  </si>
  <si>
    <t>CCA</t>
  </si>
  <si>
    <t>Yes</t>
  </si>
  <si>
    <t>PET</t>
  </si>
  <si>
    <t>Surcharge</t>
  </si>
  <si>
    <t>Apr,10</t>
  </si>
  <si>
    <t>No Change</t>
  </si>
  <si>
    <t>Financial year</t>
  </si>
  <si>
    <t>k)</t>
  </si>
  <si>
    <t>Full Name--</t>
  </si>
  <si>
    <t>If any Change Mention Month</t>
  </si>
  <si>
    <t>f)Deposit   under   Post   Office Monthly Income Account   rules,1987</t>
  </si>
  <si>
    <t xml:space="preserve">Thirty </t>
  </si>
  <si>
    <t>iv</t>
  </si>
  <si>
    <t>ix</t>
  </si>
  <si>
    <t>ii</t>
  </si>
  <si>
    <t>Fifty</t>
  </si>
  <si>
    <t>INCOME TAX CALCULATION</t>
  </si>
  <si>
    <t>Add: Income of Capital Gains</t>
  </si>
  <si>
    <t>May,10</t>
  </si>
  <si>
    <t>Forty six</t>
  </si>
  <si>
    <t>Thirty six</t>
  </si>
  <si>
    <t>Education</t>
  </si>
  <si>
    <t>Value of percuisites under section 17(2)</t>
  </si>
  <si>
    <t xml:space="preserve">(c) Limit on issuance – </t>
  </si>
  <si>
    <t>Secondary &amp; Higher Education Cess @ 2%</t>
  </si>
  <si>
    <t>3. Rs.20000/- Limit is in addition to Rs.1,00,000/- Limit of section 80C,80CCC &amp; 80CCD</t>
  </si>
  <si>
    <t>Gross Total Income  (10-11)</t>
  </si>
  <si>
    <t>2011-2012</t>
  </si>
  <si>
    <t>g)Deposits with banking companies, banking co-op, societie, land mortgage or land development bank.</t>
  </si>
  <si>
    <t>Seventy four</t>
  </si>
  <si>
    <t>xi</t>
  </si>
  <si>
    <t>Employee PAN No.</t>
  </si>
  <si>
    <t>Sl.</t>
  </si>
  <si>
    <t>National Savings Certificates (NSC)</t>
  </si>
  <si>
    <t>Seventeen</t>
  </si>
  <si>
    <t>AAS</t>
  </si>
  <si>
    <t>Children Education Fee Concession</t>
  </si>
  <si>
    <t>Increment Month</t>
  </si>
  <si>
    <t>Ninety three</t>
  </si>
  <si>
    <t>2)  He should not be in  receipt  of house rent allowance.</t>
  </si>
  <si>
    <t>Unit linked Insurance Plan</t>
  </si>
  <si>
    <t>Date:</t>
  </si>
  <si>
    <t>Six</t>
  </si>
  <si>
    <t>Gross Total Income  (6+7+8+9)</t>
  </si>
  <si>
    <t>Net Taxable Income (12-13) rounded to nearest Rs.10/-</t>
  </si>
  <si>
    <t>Sixty six</t>
  </si>
  <si>
    <t>Others       (</t>
  </si>
  <si>
    <t>Fifty nine</t>
  </si>
  <si>
    <t>SGT</t>
  </si>
  <si>
    <t>………………………………………………………………………………………………………………………………</t>
  </si>
  <si>
    <t xml:space="preserve">     Employee U/S 192 (1A) on perquisited U/S 17 (2)</t>
  </si>
  <si>
    <t>(ii) Life Insurance Corporation of India;</t>
  </si>
  <si>
    <t>Other Allowance</t>
  </si>
  <si>
    <t>a) any Govt. Security (Central or State)</t>
  </si>
  <si>
    <t>Eighty six</t>
  </si>
  <si>
    <t>TAX PAYABLE (15-16)</t>
  </si>
  <si>
    <t>LFLHM</t>
  </si>
  <si>
    <t xml:space="preserve"> Hundred </t>
  </si>
  <si>
    <t>To</t>
  </si>
  <si>
    <t>2.aggregate amount deductible under section 80C,80CCC,80CCD, shall not exceed one lakh rupees.</t>
  </si>
  <si>
    <t>Sixty five</t>
  </si>
  <si>
    <t>Fifty three</t>
  </si>
  <si>
    <t>Feb,11</t>
  </si>
  <si>
    <t>Seventy six</t>
  </si>
  <si>
    <t>Feb,10</t>
  </si>
  <si>
    <t>Deposited</t>
  </si>
  <si>
    <t>Place of Working :</t>
  </si>
  <si>
    <t>(d) Tenure of the bond. – (i) A minimum period of ten years:</t>
  </si>
  <si>
    <t>Identification No</t>
  </si>
  <si>
    <t>DDO Office Name</t>
  </si>
  <si>
    <t>LIC Insurance Premium- Annual</t>
  </si>
  <si>
    <t>vi</t>
  </si>
  <si>
    <t xml:space="preserve">Children Tution Fee </t>
  </si>
  <si>
    <t>3)   He   should   not have a self occupied residential premises in any other place</t>
  </si>
  <si>
    <t>4. Tenure of the Bonds will be 10 Years.</t>
  </si>
  <si>
    <t>Remarks</t>
  </si>
  <si>
    <t>Three</t>
  </si>
  <si>
    <t>11</t>
  </si>
  <si>
    <t>12</t>
  </si>
  <si>
    <t>Office Subordinate</t>
  </si>
  <si>
    <t>b) Payment or deposit to specified scheme for maintenance of dependent handicapped relative</t>
  </si>
  <si>
    <t>Infrastructure bonds under Section 80CCF</t>
  </si>
  <si>
    <t>Payments made to Electoral Trusts</t>
  </si>
  <si>
    <t>Forty nine</t>
  </si>
  <si>
    <t>Interest/Dividend/Income from :</t>
  </si>
  <si>
    <t>From</t>
  </si>
  <si>
    <t>LIC</t>
  </si>
  <si>
    <t>Dec,10</t>
  </si>
  <si>
    <t>The premium must be deposited to keep in force a contract for an annuity plan of the LIC or any other insurer for receiving pension from the fund</t>
  </si>
  <si>
    <t>Thirty seven</t>
  </si>
  <si>
    <t>08</t>
  </si>
  <si>
    <t>09</t>
  </si>
  <si>
    <t>House Rent Allowence</t>
  </si>
  <si>
    <t>04</t>
  </si>
  <si>
    <t>05</t>
  </si>
  <si>
    <t>06</t>
  </si>
  <si>
    <t>07</t>
  </si>
  <si>
    <t>Forty eight</t>
  </si>
  <si>
    <t>PF Type:</t>
  </si>
  <si>
    <t>00</t>
  </si>
  <si>
    <t>01</t>
  </si>
  <si>
    <t>02</t>
  </si>
  <si>
    <t>Aggrigate Amount Deductible Under 3 Sections………………………………………………….</t>
  </si>
  <si>
    <t>03</t>
  </si>
  <si>
    <t>Medical Insurance Premium</t>
  </si>
  <si>
    <t>RPS,10 Arrears</t>
  </si>
  <si>
    <t>10</t>
  </si>
  <si>
    <t>Mar,10</t>
  </si>
  <si>
    <t>Note:</t>
  </si>
  <si>
    <t>If any Change mention Month</t>
  </si>
  <si>
    <t>(i) The bond will be issued during financial year 2010-11;</t>
  </si>
  <si>
    <t>DA Arrears                                                               (Jan,10 to June,10)</t>
  </si>
  <si>
    <t>j)   Deposits   with   any   authority constituted in India under any law for   planning,development   or  improvement of cities, towns and villages etc.</t>
  </si>
  <si>
    <t>30 Days - Feb,11</t>
  </si>
  <si>
    <t>Eighty seven</t>
  </si>
  <si>
    <t xml:space="preserve">Date on </t>
  </si>
  <si>
    <t>TAX PAYABLE / REFUNDABLE (17-18)</t>
  </si>
  <si>
    <t>40% of Salary (Salary means Basic Pay+D.A)</t>
  </si>
  <si>
    <t>Fourteen</t>
  </si>
  <si>
    <t>Notional Increments Arrears Cash</t>
  </si>
  <si>
    <t>CCA Received</t>
  </si>
  <si>
    <t xml:space="preserve">1) Assessee or his total spouse or minor child should not own residential accommodation   at the place of employment. </t>
  </si>
  <si>
    <t>1. New section can be availed by individual or HUF only.</t>
  </si>
  <si>
    <t>Section 80CCF of the Income-tax Act, 1961 – Deduction – In respect of subscription to long-term infrastructure bonds – Notified long-term infrastructure bond</t>
  </si>
  <si>
    <t>No Increment</t>
  </si>
  <si>
    <t>Basic Pay Details</t>
  </si>
  <si>
    <t>Equity linked Savings Schemes (ELSS)</t>
  </si>
  <si>
    <t>Sixty one</t>
  </si>
  <si>
    <t>NAME AND ADDRESS OF THE EMPLOYER</t>
  </si>
  <si>
    <t>PT</t>
  </si>
  <si>
    <t>2010-2011</t>
  </si>
  <si>
    <t>8yrs/prm</t>
  </si>
  <si>
    <t>Total Under Section 80C…</t>
  </si>
  <si>
    <t>Repayment of Home Loan Principle</t>
  </si>
  <si>
    <t>Aug,10</t>
  </si>
  <si>
    <t>Fifty one</t>
  </si>
  <si>
    <t>Interest on Housing Loan Advance</t>
  </si>
  <si>
    <t>(ii) the volume of issuance during the financial year shall be restricted to twenty-five per cent of the incremental infrastructure investments made by the issuer during the financial year 2009-10;</t>
  </si>
  <si>
    <t>Nineteen</t>
  </si>
  <si>
    <t>Thirty two</t>
  </si>
  <si>
    <t>DDO TAN No.</t>
  </si>
  <si>
    <t>Thirty eight</t>
  </si>
  <si>
    <t>=[T.Rajesh.xls].!R[1]C[-27]</t>
  </si>
  <si>
    <t>Year</t>
  </si>
  <si>
    <t>Seventy five</t>
  </si>
  <si>
    <t>(f)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</si>
  <si>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National Savings Certificate</t>
  </si>
  <si>
    <t>Quarter</t>
  </si>
  <si>
    <t>Main features of this new section and new notification is given below.</t>
  </si>
  <si>
    <t>Rent paid in excess of 10% Salary</t>
  </si>
  <si>
    <t>8yrs</t>
  </si>
  <si>
    <t>Less: Allowance to the extent exempted U/s 10</t>
  </si>
  <si>
    <t>Deduction of Rs. 40,000 in respect of medical expenditure incurred</t>
  </si>
  <si>
    <t>Savings U/s 80C (Limited to One lakh)</t>
  </si>
  <si>
    <t>Pol. No.(</t>
  </si>
  <si>
    <t>Up to Rs. 1,90,000</t>
  </si>
  <si>
    <t>(iii) Infrastructure Development Finance Company Limited;</t>
  </si>
  <si>
    <t>15 Days - Sept,10</t>
  </si>
  <si>
    <t>Which Tax</t>
  </si>
  <si>
    <t>9.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</si>
  <si>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DA Arrears</t>
  </si>
  <si>
    <t>Tuition Fee</t>
  </si>
  <si>
    <t>Salary as per provisions cotained in section 17 (1)</t>
  </si>
  <si>
    <t>March,10</t>
  </si>
  <si>
    <t>Secondary and Higher Education Cess @ 2% (On Tax at  S.No.12 )</t>
  </si>
  <si>
    <t xml:space="preserve">Designation : </t>
  </si>
  <si>
    <t>Income From Salary (4-5)</t>
  </si>
  <si>
    <t>SA</t>
  </si>
  <si>
    <t>The various donations specified in Sec.80G are eligible for deduction upto either 100% or 50% with or without restriction as provided in Sec 80G</t>
  </si>
  <si>
    <t>GPF</t>
  </si>
  <si>
    <t>Tax to be Paid now</t>
  </si>
  <si>
    <t>/-PM)</t>
  </si>
  <si>
    <t>Eighty three</t>
  </si>
  <si>
    <t>Eighty eight</t>
  </si>
  <si>
    <t>Other Arrears</t>
  </si>
  <si>
    <t>Sixty nine</t>
  </si>
  <si>
    <t>Twenty three</t>
  </si>
  <si>
    <t>Sixty seven</t>
  </si>
  <si>
    <t>TOTAL INCOME  (8-10)</t>
  </si>
  <si>
    <t>G.P.F</t>
  </si>
  <si>
    <t>(ii) the minimum lock-in period for an investor shall be five years:</t>
  </si>
  <si>
    <t>vii</t>
  </si>
  <si>
    <t>(e) Permanent Account Number (PAN) to be furnished – It shall be mandatory for the subscribers to furnish there PAN to the issuer;</t>
  </si>
  <si>
    <t>Signature of the person responsible for deduction of tax</t>
  </si>
  <si>
    <t>80GG</t>
  </si>
  <si>
    <t>30 Days - Dec,10</t>
  </si>
  <si>
    <t>Add: Income From Capital Gains</t>
  </si>
  <si>
    <t>INCOME CHARGEABLE UNDER THE HEAD SALARIES (3-5)</t>
  </si>
  <si>
    <t>LIC Salary Savings Scheme(SSS)</t>
  </si>
  <si>
    <t>June,10</t>
  </si>
  <si>
    <t>5-Years fixed deposits with bank/post office</t>
  </si>
  <si>
    <t>Infrasture Bonds ( LIC, IDBI, IFCI,etc)</t>
  </si>
  <si>
    <t>Note : The new section 80DD replace the earlier sections of 80DD and 80DDA which are now clubbed together under the new section.</t>
  </si>
  <si>
    <t>15 Days - Aug,10</t>
  </si>
  <si>
    <t> Nature of Deduction</t>
  </si>
  <si>
    <t>Deduction available is the least of</t>
  </si>
  <si>
    <t>Balance (1-2)</t>
  </si>
  <si>
    <t>(i) Rent paid less 10% of total income</t>
  </si>
  <si>
    <t>Total Tax</t>
  </si>
  <si>
    <t>ANNEXURE - II</t>
  </si>
  <si>
    <t>Actual HRA received</t>
  </si>
  <si>
    <t>Deductions Under Chapter VI-A</t>
  </si>
  <si>
    <t>No.</t>
  </si>
  <si>
    <t>Thirteen</t>
  </si>
  <si>
    <t>Designation</t>
  </si>
  <si>
    <t>Sixty two</t>
  </si>
  <si>
    <t>Deductions</t>
  </si>
  <si>
    <t>No. (if any)</t>
  </si>
  <si>
    <t>a)</t>
  </si>
  <si>
    <t>Branch</t>
  </si>
  <si>
    <t>15 Days - Oct,10</t>
  </si>
  <si>
    <t>Own House</t>
  </si>
  <si>
    <t>Aggreate of 4 (a)&amp;(b)</t>
  </si>
  <si>
    <t>Less:Interest on Housing Loan U/s 24(b)</t>
  </si>
  <si>
    <t xml:space="preserve">Eighty </t>
  </si>
  <si>
    <t>Promotion Fixation Option is given to</t>
  </si>
  <si>
    <t>Medical treatment of Handicapped/Dependent</t>
  </si>
  <si>
    <t>Twenty one</t>
  </si>
  <si>
    <t>(iii) 25% of total income</t>
  </si>
  <si>
    <t>Infrasture Bonds ( ICICI/IDBI,etc)</t>
  </si>
  <si>
    <t>Oct,10</t>
  </si>
  <si>
    <t>15 Days - Nov,10</t>
  </si>
  <si>
    <t>Ninety four</t>
  </si>
  <si>
    <t>One</t>
  </si>
  <si>
    <t>April,10</t>
  </si>
  <si>
    <t>Sixty three</t>
  </si>
  <si>
    <t>=[T.Rajesh.xls].!R[2]C[-27]</t>
  </si>
  <si>
    <t>Jr. Asst</t>
  </si>
  <si>
    <t>Thirty five</t>
  </si>
  <si>
    <t>Rs.</t>
  </si>
  <si>
    <t>APGLIF Polocy No.:</t>
  </si>
  <si>
    <t>Changed to</t>
  </si>
  <si>
    <t>prom</t>
  </si>
  <si>
    <t>Less:(a) Tax deducted at source U/s 192(1)</t>
  </si>
  <si>
    <t>Gross</t>
  </si>
  <si>
    <t>Medical Insurance Premium-S.Citizens</t>
  </si>
  <si>
    <t>d)  Notified   National   Deposit Scheme</t>
  </si>
  <si>
    <t>LIC Annual Premiums Paid by Hand</t>
  </si>
  <si>
    <t>AAS(8/16/24) Availed</t>
  </si>
  <si>
    <t>GLI</t>
  </si>
  <si>
    <t>Total</t>
  </si>
  <si>
    <t xml:space="preserve">Forty </t>
  </si>
  <si>
    <t>Assessment</t>
  </si>
  <si>
    <t>Forty one</t>
  </si>
  <si>
    <t>Donation of Charitable Institution</t>
  </si>
  <si>
    <t>FPI</t>
  </si>
  <si>
    <t>Gross Salary</t>
  </si>
  <si>
    <t>1)   Deposits,   with   any   public companies   providing   long   term finance for construction or purchase of houses.</t>
  </si>
  <si>
    <t>c)Notified  debentures   of public sector undertakings,cooperative societies/Land mortgage bank or land development bank.</t>
  </si>
  <si>
    <t xml:space="preserve">(Rent: @ </t>
  </si>
  <si>
    <t>Cess</t>
  </si>
  <si>
    <t>8. Permanent account Number is must to apply these bonds.</t>
  </si>
  <si>
    <t>Changed Subscription</t>
  </si>
  <si>
    <t>School</t>
  </si>
  <si>
    <t>CBDT has notified New infrastructure Bonds (Notification No. 48/2010[F.No.149/84/2010-SO(TPL)], dated 9-7-2010) u/s 80CCF. An Individual or HUF can invest in these new infrastructure Bonds upto Rs.20,000/- in a Financial years.</t>
  </si>
  <si>
    <t>SWF &amp; EWF</t>
  </si>
  <si>
    <t>Expenditure on medical treatment</t>
  </si>
  <si>
    <t>A/C No.</t>
  </si>
  <si>
    <t>h) deposits with banks established under any law made by Parliament.</t>
  </si>
  <si>
    <t xml:space="preserve">Taken Promotion </t>
  </si>
  <si>
    <t>Transfer</t>
  </si>
  <si>
    <t>e)  Any other deposit Scheme framed by Central Govt. and notified.</t>
  </si>
  <si>
    <t>Maintaince for disabled Person</t>
  </si>
  <si>
    <t>TAX ON TOTAL INCOME Rs.</t>
  </si>
  <si>
    <t>Acknowledgement No.</t>
  </si>
  <si>
    <t>Fifty eight</t>
  </si>
  <si>
    <t>GPF Deducted</t>
  </si>
  <si>
    <t>LIC Premium Deducted in SSS</t>
  </si>
  <si>
    <t>The handicapped dependent should be a dependent relative suffering a perma­nent disability (including blindness) or mentally retarded, as certified by a specified physician or psychiatrist.</t>
  </si>
  <si>
    <t>Payment of premia for annuity The premium must plan of LIC or any other insurer, be deposited to keep Deduction is available upto a in force a contract for maximum of Rs. 10,000</t>
  </si>
  <si>
    <t>(ii) the end-use shall be duly reported in the Annual Reports and other reports submitted by the issuer to the Regulatory Authority concerned, and specifically certified by the Statutory Auditor of the issuer;</t>
  </si>
  <si>
    <t>CPS</t>
  </si>
  <si>
    <t>B.Pay</t>
  </si>
  <si>
    <t>(The employer is to provide tranction - wise details of tax deducted and deposited)</t>
  </si>
  <si>
    <t>Total Savings</t>
  </si>
  <si>
    <t>Rs.1,60,001 To 5,00,000.    (@ 10%)</t>
  </si>
  <si>
    <t>Rented House</t>
  </si>
  <si>
    <t>APGLIF</t>
  </si>
  <si>
    <t>In exercise of the powers conferred by section 80CCF of the Income-tax Act, 1961 (43 of 1961), the Central Government hereby specifies bonds, subject to the following conditions, as long-term infrastructure bonds for the purposes of the said section namely :-</t>
  </si>
  <si>
    <t>Basic Pay</t>
  </si>
  <si>
    <t>Income from House Property U/s 24(vi)</t>
  </si>
  <si>
    <t>Seventy eight</t>
  </si>
  <si>
    <t>FORM No. 16                                                                                                                                                                                                                       ( Vide rule 31(1)(a) of Income Tax Rules, 1962 )</t>
  </si>
  <si>
    <t>LIC PREMIUM PAID BY HAND</t>
  </si>
  <si>
    <t>HRA</t>
  </si>
  <si>
    <t>Forty seven</t>
  </si>
  <si>
    <t>Changed Subcrsiption</t>
  </si>
  <si>
    <t>Aggregate of Deductible Amounts U/Chapter VIA (A+B)………</t>
  </si>
  <si>
    <t>Income Tax 2010-11</t>
  </si>
  <si>
    <t>Nov</t>
  </si>
  <si>
    <t>Add: Any other income reported by the employee</t>
  </si>
  <si>
    <t>Notional Arrers</t>
  </si>
  <si>
    <t>Equity Linked Savings Scheme</t>
  </si>
  <si>
    <t>Name</t>
  </si>
  <si>
    <t>Creditted in P.F</t>
  </si>
  <si>
    <t>July,10</t>
  </si>
  <si>
    <t>Section</t>
  </si>
  <si>
    <t>Section 80CCC</t>
  </si>
  <si>
    <t>Section 80CCD</t>
  </si>
  <si>
    <t>(iv) a Non-Banking Finance Company classified as an Infrastructure Finance Company by the Reserve Bank of India;</t>
  </si>
  <si>
    <t>DA Arrears                                                             (July,10 to Nov,10)</t>
  </si>
  <si>
    <t>80DD </t>
  </si>
  <si>
    <t>Twenty seven</t>
  </si>
  <si>
    <t xml:space="preserve">          I G.Ambaiah working as Mandal Educational Officer do  hereby  certify  that  the  sum  of Rs. 0/- Rupees in words Seventy Thousand Six Hundred and Ninety five rupees Only deducted   at  source   and  paid  to  the credit  of the central Government.   I  further certify  that  the  Informtion givin above is true and  correct based on the books of account, documents and other available records.</t>
  </si>
  <si>
    <t xml:space="preserve">                        </t>
  </si>
  <si>
    <t>Section 80CCF</t>
  </si>
  <si>
    <t>Infra structure Bonds under section 80CCF ( Rs:20,000/- Limit is in addition to Rs:100,000/- Limit of sectoion 80C, 80CCC &amp; 80CCD</t>
  </si>
  <si>
    <t>Aggrigate Amount Deductible Under 3 Sections(80C,80CCC, 80CCD,&amp;80CCF</t>
  </si>
  <si>
    <t>UnderSection 80C,80CCC,80CCD,80CCF</t>
  </si>
  <si>
    <t>INFRA STRUCTURE BONDS(80CCF)</t>
  </si>
  <si>
    <t xml:space="preserve">Infra structure Bonds under section 80CCF </t>
  </si>
  <si>
    <t>NET</t>
  </si>
  <si>
    <t>………..</t>
  </si>
  <si>
    <t>……</t>
  </si>
  <si>
    <t>…….</t>
  </si>
  <si>
    <t>………</t>
  </si>
  <si>
    <t>MEO</t>
  </si>
  <si>
    <t>Join in My free SMS Group</t>
  </si>
  <si>
    <t>This Sheet is Prepared By RAMESH KOORA, Karimnagar</t>
  </si>
  <si>
    <t>Send a Messege  As</t>
  </si>
  <si>
    <t>Further any problems Please Contact on 9948841000</t>
  </si>
  <si>
    <t>JOIN RAMKO</t>
  </si>
  <si>
    <t>visit always for latest events     www.rameshkoora.8m.com</t>
  </si>
  <si>
    <t>and send it to     567678</t>
  </si>
  <si>
    <t>mail to   ramesh.koora@gmail.com</t>
  </si>
  <si>
    <t>Number</t>
  </si>
  <si>
    <t>Rupees in Words Conversion</t>
  </si>
  <si>
    <t>TRIPURARAM</t>
  </si>
  <si>
    <t>MPP TRIPURARAM</t>
  </si>
  <si>
    <t>P.NARAYANA</t>
  </si>
  <si>
    <t>K.LINGA REDDY</t>
  </si>
  <si>
    <t>PS KOYALAPAHAD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</si>
</sst>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
    <numFmt numFmtId="173" formatCode="0.000"/>
    <numFmt numFmtId="174" formatCode="mmm\-yy;@"/>
    <numFmt numFmtId="175" formatCode="#,##0;\(#,##0\)"/>
    <numFmt numFmtId="176" formatCode="d\-mmm\-yyyy;@"/>
  </numFmts>
  <fonts count="95">
    <font>
      <sz val="10"/>
      <name val="Arial"/>
      <family val="2"/>
    </font>
    <font>
      <b/>
      <sz val="10"/>
      <color indexed="16"/>
      <name val="Verdana"/>
      <family val="2"/>
    </font>
    <font>
      <b/>
      <sz val="10"/>
      <color indexed="14"/>
      <name val="Verdana"/>
      <family val="2"/>
    </font>
    <font>
      <b/>
      <sz val="12"/>
      <color indexed="16"/>
      <name val="Verdana"/>
      <family val="2"/>
    </font>
    <font>
      <sz val="10"/>
      <color indexed="14"/>
      <name val="Verdana"/>
      <family val="2"/>
    </font>
    <font>
      <b/>
      <sz val="14"/>
      <color indexed="21"/>
      <name val="Arial"/>
      <family val="2"/>
    </font>
    <font>
      <b/>
      <sz val="10"/>
      <color indexed="21"/>
      <name val="Arial"/>
      <family val="2"/>
    </font>
    <font>
      <b/>
      <sz val="9"/>
      <color indexed="12"/>
      <name val="Arial"/>
      <family val="2"/>
    </font>
    <font>
      <b/>
      <sz val="9"/>
      <color indexed="14"/>
      <name val="Arial"/>
      <family val="2"/>
    </font>
    <font>
      <b/>
      <u val="single"/>
      <sz val="18"/>
      <color indexed="14"/>
      <name val="Arial"/>
      <family val="2"/>
    </font>
    <font>
      <sz val="11"/>
      <color indexed="14"/>
      <name val="Arial"/>
      <family val="2"/>
    </font>
    <font>
      <b/>
      <sz val="10"/>
      <color indexed="14"/>
      <name val="Arial"/>
      <family val="2"/>
    </font>
    <font>
      <u val="single"/>
      <sz val="10"/>
      <color indexed="14"/>
      <name val="Arial"/>
      <family val="2"/>
    </font>
    <font>
      <b/>
      <sz val="10"/>
      <color indexed="14"/>
      <name val="Times New Roman"/>
      <family val="2"/>
    </font>
    <font>
      <b/>
      <sz val="11"/>
      <color indexed="14"/>
      <name val="Times New Roman"/>
      <family val="2"/>
    </font>
    <font>
      <b/>
      <sz val="9"/>
      <color indexed="14"/>
      <name val="Verdana"/>
      <family val="2"/>
    </font>
    <font>
      <sz val="10"/>
      <color indexed="14"/>
      <name val="Times New Roman"/>
      <family val="2"/>
    </font>
    <font>
      <b/>
      <sz val="12"/>
      <color indexed="14"/>
      <name val="Times New Roman"/>
      <family val="2"/>
    </font>
    <font>
      <b/>
      <sz val="22"/>
      <color indexed="21"/>
      <name val="Verdana"/>
      <family val="2"/>
    </font>
    <font>
      <b/>
      <sz val="10"/>
      <color indexed="12"/>
      <name val="Verdana"/>
      <family val="2"/>
    </font>
    <font>
      <sz val="10"/>
      <color indexed="14"/>
      <name val="Arial"/>
      <family val="2"/>
    </font>
    <font>
      <b/>
      <sz val="10"/>
      <color indexed="12"/>
      <name val="Arial"/>
      <family val="2"/>
    </font>
    <font>
      <sz val="10"/>
      <color indexed="12"/>
      <name val="Arial"/>
      <family val="2"/>
    </font>
    <font>
      <sz val="9"/>
      <color indexed="14"/>
      <name val="Verdana"/>
      <family val="2"/>
    </font>
    <font>
      <sz val="9"/>
      <color indexed="14"/>
      <name val="Arial"/>
      <family val="2"/>
    </font>
    <font>
      <sz val="12"/>
      <color indexed="14"/>
      <name val="Arial"/>
      <family val="2"/>
    </font>
    <font>
      <b/>
      <sz val="11"/>
      <color indexed="14"/>
      <name val="Arial"/>
      <family val="2"/>
    </font>
    <font>
      <b/>
      <sz val="12"/>
      <color indexed="14"/>
      <name val="Arial"/>
      <family val="2"/>
    </font>
    <font>
      <sz val="8"/>
      <color indexed="14"/>
      <name val="Arial"/>
      <family val="2"/>
    </font>
    <font>
      <sz val="14"/>
      <color indexed="14"/>
      <name val="Arial"/>
      <family val="2"/>
    </font>
    <font>
      <sz val="12"/>
      <name val="Arial"/>
      <family val="2"/>
    </font>
    <font>
      <b/>
      <sz val="14"/>
      <color indexed="14"/>
      <name val="Arial"/>
      <family val="2"/>
    </font>
    <font>
      <b/>
      <sz val="10"/>
      <name val="Book Antiqua"/>
      <family val="1"/>
    </font>
    <font>
      <b/>
      <sz val="10"/>
      <name val="Verdana"/>
      <family val="2"/>
    </font>
    <font>
      <b/>
      <sz val="10"/>
      <name val="Arial"/>
      <family val="2"/>
    </font>
    <font>
      <sz val="10"/>
      <name val="Verdana"/>
      <family val="2"/>
    </font>
    <font>
      <b/>
      <sz val="9"/>
      <name val="Verdana"/>
      <family val="2"/>
    </font>
    <font>
      <b/>
      <sz val="12"/>
      <name val="Times New Roman"/>
      <family val="2"/>
    </font>
    <font>
      <sz val="10"/>
      <color indexed="20"/>
      <name val="Arial"/>
      <family val="2"/>
    </font>
    <font>
      <b/>
      <u val="single"/>
      <sz val="11"/>
      <color indexed="33"/>
      <name val="Arial"/>
      <family val="2"/>
    </font>
    <font>
      <b/>
      <sz val="12"/>
      <color indexed="39"/>
      <name val="Arial"/>
      <family val="2"/>
    </font>
    <font>
      <b/>
      <sz val="10"/>
      <color indexed="39"/>
      <name val="Arial"/>
      <family val="2"/>
    </font>
    <font>
      <b/>
      <sz val="12"/>
      <color indexed="19"/>
      <name val="Arial"/>
      <family val="2"/>
    </font>
    <font>
      <b/>
      <sz val="10"/>
      <color indexed="20"/>
      <name val="Arial"/>
      <family val="2"/>
    </font>
    <font>
      <b/>
      <sz val="12"/>
      <color indexed="20"/>
      <name val="Arial"/>
      <family val="2"/>
    </font>
    <font>
      <sz val="8"/>
      <name val="VAG Rounded Th"/>
      <family val="2"/>
    </font>
    <font>
      <sz val="10"/>
      <name val="Times New Roman"/>
      <family val="1"/>
    </font>
    <font>
      <sz val="11"/>
      <color indexed="14"/>
      <name val="Calibri"/>
      <family val="2"/>
    </font>
    <font>
      <sz val="11"/>
      <color indexed="21"/>
      <name val="Calibri"/>
      <family val="2"/>
    </font>
    <font>
      <sz val="11"/>
      <color indexed="36"/>
      <name val="Calibri"/>
      <family val="2"/>
    </font>
    <font>
      <b/>
      <sz val="11"/>
      <color indexed="52"/>
      <name val="Calibri"/>
      <family val="2"/>
    </font>
    <font>
      <b/>
      <sz val="11"/>
      <color indexed="21"/>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4"/>
      <name val="Calibri"/>
      <family val="2"/>
    </font>
    <font>
      <sz val="11"/>
      <color indexed="12"/>
      <name val="Calibri"/>
      <family val="2"/>
    </font>
    <font>
      <sz val="10"/>
      <color indexed="21"/>
      <name val="Arial"/>
      <family val="2"/>
    </font>
    <font>
      <b/>
      <sz val="10"/>
      <color indexed="21"/>
      <name val="Verdana"/>
      <family val="2"/>
    </font>
    <font>
      <b/>
      <sz val="10"/>
      <color indexed="21"/>
      <name val="Times New Roman"/>
      <family val="2"/>
    </font>
    <font>
      <b/>
      <sz val="12"/>
      <color indexed="12"/>
      <name val="Arial"/>
      <family val="2"/>
    </font>
    <font>
      <b/>
      <sz val="20"/>
      <color indexed="12"/>
      <name val="Verdan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Verdana"/>
      <family val="2"/>
    </font>
    <font>
      <b/>
      <sz val="10"/>
      <color theme="1"/>
      <name val="Times New Roman"/>
      <family val="2"/>
    </font>
    <font>
      <b/>
      <sz val="10"/>
      <color theme="1"/>
      <name val="Verdana"/>
      <family val="2"/>
    </font>
    <font>
      <b/>
      <sz val="10"/>
      <color theme="0"/>
      <name val="Times New Roman"/>
      <family val="2"/>
    </font>
    <font>
      <b/>
      <sz val="12"/>
      <color rgb="FFFF0000"/>
      <name val="Arial"/>
      <family val="2"/>
    </font>
    <font>
      <b/>
      <sz val="10"/>
      <color theme="0"/>
      <name val="Arial"/>
      <family val="2"/>
    </font>
    <font>
      <b/>
      <sz val="20"/>
      <color rgb="FFFF0000"/>
      <name val="Verdan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4"/>
        <bgColor indexed="64"/>
      </patternFill>
    </fill>
    <fill>
      <patternFill patternType="solid">
        <fgColor indexed="41"/>
        <bgColor indexed="64"/>
      </patternFill>
    </fill>
    <fill>
      <patternFill patternType="solid">
        <fgColor indexed="17"/>
        <bgColor indexed="64"/>
      </patternFill>
    </fill>
    <fill>
      <patternFill patternType="solid">
        <fgColor indexed="16"/>
        <bgColor indexed="64"/>
      </patternFill>
    </fill>
    <fill>
      <patternFill patternType="solid">
        <fgColor indexed="9"/>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rgb="FFC00000"/>
        <bgColor indexed="64"/>
      </patternFill>
    </fill>
    <fill>
      <patternFill patternType="solid">
        <fgColor rgb="FFFFFF00"/>
        <bgColor indexed="64"/>
      </patternFill>
    </fill>
    <fill>
      <patternFill patternType="solid">
        <fgColor theme="7" tint="-0.4999699890613556"/>
        <bgColor indexed="64"/>
      </patternFill>
    </fill>
    <fill>
      <patternFill patternType="solid">
        <fgColor indexed="12"/>
        <bgColor indexed="64"/>
      </patternFill>
    </fill>
    <fill>
      <patternFill patternType="solid">
        <fgColor indexed="43"/>
        <bgColor indexed="64"/>
      </patternFill>
    </fill>
    <fill>
      <patternFill patternType="solid">
        <fgColor indexed="8"/>
        <bgColor indexed="64"/>
      </patternFill>
    </fill>
    <fill>
      <patternFill patternType="solid">
        <fgColor indexed="2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horizontal="center"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571">
    <xf numFmtId="0" fontId="0" fillId="0" borderId="0" xfId="0" applyAlignment="1">
      <alignment vertical="center"/>
    </xf>
    <xf numFmtId="0" fontId="0" fillId="0" borderId="10" xfId="0" applyNumberFormat="1" applyFont="1" applyFill="1" applyBorder="1" applyAlignment="1">
      <alignment wrapText="1"/>
    </xf>
    <xf numFmtId="0" fontId="1" fillId="33" borderId="11" xfId="0" applyNumberFormat="1" applyFont="1" applyFill="1" applyBorder="1" applyAlignment="1">
      <alignment horizontal="left" vertical="center" wrapText="1"/>
    </xf>
    <xf numFmtId="0" fontId="2" fillId="33" borderId="11" xfId="0" applyNumberFormat="1" applyFont="1" applyFill="1" applyBorder="1" applyAlignment="1">
      <alignment horizontal="left" vertical="center" wrapText="1"/>
    </xf>
    <xf numFmtId="0" fontId="0" fillId="0" borderId="12" xfId="0" applyNumberFormat="1" applyFont="1" applyFill="1" applyBorder="1" applyAlignment="1">
      <alignment wrapText="1"/>
    </xf>
    <xf numFmtId="0" fontId="0" fillId="0" borderId="13" xfId="0" applyNumberFormat="1" applyFont="1" applyFill="1" applyBorder="1" applyAlignment="1">
      <alignment wrapText="1"/>
    </xf>
    <xf numFmtId="0" fontId="3" fillId="33" borderId="11"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0" fillId="0" borderId="14" xfId="0" applyNumberFormat="1" applyFont="1" applyFill="1" applyBorder="1" applyAlignment="1">
      <alignment wrapText="1"/>
    </xf>
    <xf numFmtId="0" fontId="5" fillId="34" borderId="11" xfId="0" applyNumberFormat="1" applyFont="1" applyFill="1" applyBorder="1" applyAlignment="1">
      <alignment horizontal="left" vertical="center"/>
    </xf>
    <xf numFmtId="0" fontId="6" fillId="34" borderId="11" xfId="0" applyNumberFormat="1" applyFont="1" applyFill="1" applyBorder="1" applyAlignment="1">
      <alignment horizontal="left" vertical="center"/>
    </xf>
    <xf numFmtId="0" fontId="7" fillId="35" borderId="11" xfId="0" applyNumberFormat="1" applyFont="1" applyFill="1" applyBorder="1" applyAlignment="1">
      <alignment horizontal="left" vertical="center"/>
    </xf>
    <xf numFmtId="3" fontId="7" fillId="35" borderId="11" xfId="0" applyNumberFormat="1" applyFont="1" applyFill="1" applyBorder="1" applyAlignment="1">
      <alignment horizontal="left" vertical="center"/>
    </xf>
    <xf numFmtId="0" fontId="8" fillId="35" borderId="11" xfId="0" applyNumberFormat="1" applyFont="1" applyFill="1" applyBorder="1" applyAlignment="1">
      <alignment horizontal="left" vertical="center"/>
    </xf>
    <xf numFmtId="3" fontId="7" fillId="35" borderId="11" xfId="0" applyNumberFormat="1" applyFont="1" applyFill="1" applyBorder="1" applyAlignment="1">
      <alignment horizontal="left" vertical="center" wrapText="1"/>
    </xf>
    <xf numFmtId="0" fontId="4" fillId="33" borderId="15" xfId="0" applyNumberFormat="1" applyFont="1" applyFill="1" applyBorder="1" applyAlignment="1">
      <alignment horizontal="left" vertical="center" wrapText="1"/>
    </xf>
    <xf numFmtId="0" fontId="4" fillId="33" borderId="14"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3" fillId="33" borderId="15" xfId="0" applyNumberFormat="1" applyFont="1" applyFill="1" applyBorder="1" applyAlignment="1">
      <alignment horizontal="left" vertical="center" wrapText="1"/>
    </xf>
    <xf numFmtId="0" fontId="3" fillId="33" borderId="14" xfId="0" applyNumberFormat="1" applyFont="1" applyFill="1" applyBorder="1" applyAlignment="1">
      <alignment horizontal="left" vertical="center" wrapText="1"/>
    </xf>
    <xf numFmtId="0" fontId="0" fillId="0" borderId="17" xfId="0" applyNumberFormat="1" applyFont="1" applyFill="1" applyBorder="1" applyAlignment="1">
      <alignment wrapText="1"/>
    </xf>
    <xf numFmtId="0" fontId="3" fillId="33" borderId="16" xfId="0" applyNumberFormat="1" applyFont="1" applyFill="1" applyBorder="1" applyAlignment="1">
      <alignment horizontal="left" vertical="center" wrapText="1"/>
    </xf>
    <xf numFmtId="0" fontId="9" fillId="33" borderId="0" xfId="0" applyNumberFormat="1" applyFont="1" applyFill="1" applyAlignment="1">
      <alignment horizontal="left" vertical="center"/>
    </xf>
    <xf numFmtId="0" fontId="10" fillId="36" borderId="0" xfId="0" applyNumberFormat="1" applyFont="1" applyFill="1" applyAlignment="1">
      <alignment horizontal="left" vertical="center"/>
    </xf>
    <xf numFmtId="0" fontId="11" fillId="33" borderId="0" xfId="0" applyNumberFormat="1" applyFont="1" applyFill="1" applyAlignment="1">
      <alignment horizontal="left" vertical="center" wrapText="1"/>
    </xf>
    <xf numFmtId="0" fontId="12" fillId="36" borderId="0" xfId="0" applyNumberFormat="1" applyFont="1" applyFill="1" applyAlignment="1">
      <alignment horizontal="left" vertical="center"/>
    </xf>
    <xf numFmtId="0" fontId="10" fillId="33" borderId="0" xfId="0" applyNumberFormat="1" applyFont="1" applyFill="1" applyAlignment="1">
      <alignment horizontal="left" vertical="center" wrapText="1"/>
    </xf>
    <xf numFmtId="0" fontId="2" fillId="37" borderId="13" xfId="0" applyNumberFormat="1" applyFont="1" applyFill="1" applyBorder="1" applyAlignment="1">
      <alignment horizontal="right" vertical="center"/>
    </xf>
    <xf numFmtId="0" fontId="2" fillId="37" borderId="0" xfId="0" applyNumberFormat="1" applyFont="1" applyFill="1" applyAlignment="1">
      <alignment vertical="center"/>
    </xf>
    <xf numFmtId="0" fontId="2" fillId="38" borderId="0" xfId="0" applyNumberFormat="1" applyFont="1" applyFill="1" applyAlignment="1">
      <alignment vertical="center"/>
    </xf>
    <xf numFmtId="0" fontId="2" fillId="38" borderId="11" xfId="0" applyNumberFormat="1" applyFont="1" applyFill="1" applyBorder="1" applyAlignment="1">
      <alignment vertical="center"/>
    </xf>
    <xf numFmtId="0" fontId="2" fillId="38" borderId="18" xfId="0" applyNumberFormat="1" applyFont="1" applyFill="1" applyBorder="1" applyAlignment="1">
      <alignment vertical="center"/>
    </xf>
    <xf numFmtId="0" fontId="2" fillId="38" borderId="19" xfId="0" applyNumberFormat="1" applyFont="1" applyFill="1" applyBorder="1" applyAlignment="1">
      <alignment vertical="center"/>
    </xf>
    <xf numFmtId="0" fontId="2" fillId="38" borderId="20" xfId="0" applyNumberFormat="1" applyFont="1" applyFill="1" applyBorder="1" applyAlignment="1">
      <alignment vertical="center"/>
    </xf>
    <xf numFmtId="0" fontId="11" fillId="39" borderId="0" xfId="0" applyNumberFormat="1" applyFont="1" applyFill="1" applyAlignment="1">
      <alignment horizontal="left" vertical="center"/>
    </xf>
    <xf numFmtId="0" fontId="2" fillId="40" borderId="11" xfId="0" applyNumberFormat="1" applyFont="1" applyFill="1" applyBorder="1" applyAlignment="1">
      <alignment vertical="center"/>
    </xf>
    <xf numFmtId="0" fontId="13" fillId="38" borderId="0" xfId="0" applyNumberFormat="1" applyFont="1" applyFill="1" applyAlignment="1">
      <alignment horizontal="center" vertical="center"/>
    </xf>
    <xf numFmtId="0" fontId="2" fillId="38" borderId="11" xfId="0" applyNumberFormat="1" applyFont="1" applyFill="1" applyBorder="1" applyAlignment="1">
      <alignment horizontal="left" vertical="center"/>
    </xf>
    <xf numFmtId="0" fontId="14" fillId="38" borderId="0" xfId="0" applyNumberFormat="1" applyFont="1" applyFill="1" applyAlignment="1">
      <alignment horizontal="center" vertical="center"/>
    </xf>
    <xf numFmtId="0" fontId="16" fillId="38" borderId="0" xfId="0" applyNumberFormat="1" applyFont="1" applyFill="1" applyAlignment="1">
      <alignment horizontal="center" vertical="center"/>
    </xf>
    <xf numFmtId="0" fontId="0" fillId="0" borderId="18" xfId="0" applyNumberFormat="1" applyFont="1" applyFill="1" applyBorder="1" applyAlignment="1">
      <alignment wrapText="1"/>
    </xf>
    <xf numFmtId="0" fontId="0" fillId="0" borderId="20" xfId="0" applyNumberFormat="1" applyFont="1" applyFill="1" applyBorder="1" applyAlignment="1">
      <alignment wrapText="1"/>
    </xf>
    <xf numFmtId="0" fontId="0" fillId="0" borderId="19" xfId="0" applyNumberFormat="1" applyFont="1" applyFill="1" applyBorder="1" applyAlignment="1">
      <alignment wrapText="1"/>
    </xf>
    <xf numFmtId="0" fontId="2" fillId="38" borderId="21" xfId="0" applyNumberFormat="1" applyFont="1" applyFill="1" applyBorder="1" applyAlignment="1">
      <alignment vertical="center"/>
    </xf>
    <xf numFmtId="0" fontId="2" fillId="38" borderId="22" xfId="0" applyNumberFormat="1" applyFont="1" applyFill="1" applyBorder="1" applyAlignment="1">
      <alignment vertical="center"/>
    </xf>
    <xf numFmtId="0" fontId="2" fillId="38" borderId="19" xfId="0" applyNumberFormat="1" applyFont="1" applyFill="1" applyBorder="1" applyAlignment="1">
      <alignment horizontal="right" vertical="center"/>
    </xf>
    <xf numFmtId="0" fontId="2" fillId="38" borderId="11" xfId="0" applyNumberFormat="1" applyFont="1" applyFill="1" applyBorder="1" applyAlignment="1">
      <alignment horizontal="right" vertical="center"/>
    </xf>
    <xf numFmtId="0" fontId="2" fillId="38" borderId="12" xfId="0" applyNumberFormat="1" applyFont="1" applyFill="1" applyBorder="1" applyAlignment="1">
      <alignment vertical="center"/>
    </xf>
    <xf numFmtId="0" fontId="2" fillId="38" borderId="10" xfId="0" applyNumberFormat="1" applyFont="1" applyFill="1" applyBorder="1" applyAlignment="1">
      <alignment vertical="center"/>
    </xf>
    <xf numFmtId="0" fontId="2" fillId="38" borderId="23" xfId="0" applyNumberFormat="1" applyFont="1" applyFill="1" applyBorder="1" applyAlignment="1">
      <alignment vertical="center"/>
    </xf>
    <xf numFmtId="0" fontId="2" fillId="38" borderId="24" xfId="0" applyNumberFormat="1" applyFont="1" applyFill="1" applyBorder="1" applyAlignment="1">
      <alignment vertical="center"/>
    </xf>
    <xf numFmtId="0" fontId="13" fillId="37" borderId="24" xfId="0" applyNumberFormat="1" applyFont="1" applyFill="1" applyBorder="1" applyAlignment="1">
      <alignment horizontal="left" vertical="center" wrapText="1"/>
    </xf>
    <xf numFmtId="0" fontId="13" fillId="38" borderId="11" xfId="0" applyNumberFormat="1" applyFont="1" applyFill="1" applyBorder="1" applyAlignment="1">
      <alignment vertical="center" wrapText="1"/>
    </xf>
    <xf numFmtId="0" fontId="13" fillId="38" borderId="12" xfId="0" applyNumberFormat="1" applyFont="1" applyFill="1" applyBorder="1" applyAlignment="1">
      <alignment horizontal="left" vertical="center" wrapText="1"/>
    </xf>
    <xf numFmtId="0" fontId="13" fillId="38" borderId="0" xfId="0" applyNumberFormat="1" applyFont="1" applyFill="1" applyAlignment="1">
      <alignment horizontal="left" vertical="center" wrapText="1"/>
    </xf>
    <xf numFmtId="0" fontId="2" fillId="37" borderId="21" xfId="0" applyNumberFormat="1" applyFont="1" applyFill="1" applyBorder="1" applyAlignment="1">
      <alignment vertical="center"/>
    </xf>
    <xf numFmtId="0" fontId="2" fillId="38" borderId="17" xfId="0" applyNumberFormat="1" applyFont="1" applyFill="1" applyBorder="1" applyAlignment="1">
      <alignment horizontal="right" vertical="center"/>
    </xf>
    <xf numFmtId="0" fontId="2" fillId="41" borderId="22" xfId="0" applyNumberFormat="1" applyFont="1" applyFill="1" applyBorder="1" applyAlignment="1">
      <alignment vertical="center"/>
    </xf>
    <xf numFmtId="0" fontId="2" fillId="37" borderId="14" xfId="0" applyNumberFormat="1" applyFont="1" applyFill="1" applyBorder="1" applyAlignment="1">
      <alignment vertical="center"/>
    </xf>
    <xf numFmtId="0" fontId="2" fillId="38" borderId="14" xfId="0" applyNumberFormat="1" applyFont="1" applyFill="1" applyBorder="1" applyAlignment="1">
      <alignment vertical="center"/>
    </xf>
    <xf numFmtId="0" fontId="18" fillId="41" borderId="14" xfId="0" applyNumberFormat="1" applyFont="1" applyFill="1" applyBorder="1" applyAlignment="1">
      <alignment horizontal="center" vertical="center"/>
    </xf>
    <xf numFmtId="172" fontId="13" fillId="38" borderId="0" xfId="0" applyNumberFormat="1" applyFont="1" applyFill="1" applyAlignment="1">
      <alignment horizontal="left" vertical="center"/>
    </xf>
    <xf numFmtId="0" fontId="13" fillId="38" borderId="0" xfId="0" applyNumberFormat="1" applyFont="1" applyFill="1" applyAlignment="1">
      <alignment horizontal="center" vertical="center" wrapText="1"/>
    </xf>
    <xf numFmtId="1" fontId="13" fillId="38" borderId="0" xfId="0" applyNumberFormat="1" applyFont="1" applyFill="1" applyAlignment="1">
      <alignment horizontal="center" vertical="center" wrapText="1"/>
    </xf>
    <xf numFmtId="1" fontId="13" fillId="38" borderId="0" xfId="0" applyNumberFormat="1" applyFont="1" applyFill="1" applyAlignment="1">
      <alignment horizontal="center" vertical="center"/>
    </xf>
    <xf numFmtId="0" fontId="2" fillId="38" borderId="0" xfId="0" applyNumberFormat="1" applyFont="1" applyFill="1" applyAlignment="1">
      <alignment horizontal="right" vertical="center"/>
    </xf>
    <xf numFmtId="0" fontId="2" fillId="37" borderId="16" xfId="0" applyNumberFormat="1" applyFont="1" applyFill="1" applyBorder="1" applyAlignment="1">
      <alignment vertical="center"/>
    </xf>
    <xf numFmtId="0" fontId="2" fillId="41" borderId="18" xfId="0" applyNumberFormat="1" applyFont="1" applyFill="1" applyBorder="1" applyAlignment="1">
      <alignment vertical="center"/>
    </xf>
    <xf numFmtId="0" fontId="2" fillId="41" borderId="19" xfId="0" applyNumberFormat="1" applyFont="1" applyFill="1" applyBorder="1" applyAlignment="1">
      <alignment horizontal="right" vertical="center"/>
    </xf>
    <xf numFmtId="0" fontId="2" fillId="41" borderId="19" xfId="0" applyNumberFormat="1" applyFont="1" applyFill="1" applyBorder="1" applyAlignment="1">
      <alignment vertical="center"/>
    </xf>
    <xf numFmtId="0" fontId="2" fillId="41" borderId="20" xfId="0" applyNumberFormat="1" applyFont="1" applyFill="1" applyBorder="1" applyAlignment="1">
      <alignment vertical="center"/>
    </xf>
    <xf numFmtId="0" fontId="18" fillId="41" borderId="16" xfId="0" applyNumberFormat="1" applyFont="1" applyFill="1" applyBorder="1" applyAlignment="1">
      <alignment horizontal="center" vertical="center"/>
    </xf>
    <xf numFmtId="0" fontId="13" fillId="38" borderId="11" xfId="0" applyNumberFormat="1" applyFont="1" applyFill="1" applyBorder="1" applyAlignment="1">
      <alignment horizontal="left" vertical="center" wrapText="1"/>
    </xf>
    <xf numFmtId="0" fontId="13" fillId="38" borderId="0" xfId="0" applyNumberFormat="1" applyFont="1" applyFill="1" applyAlignment="1">
      <alignment horizontal="right" vertical="center" wrapText="1"/>
    </xf>
    <xf numFmtId="0" fontId="2" fillId="37" borderId="17" xfId="0" applyNumberFormat="1" applyFont="1" applyFill="1" applyBorder="1" applyAlignment="1">
      <alignment vertical="center"/>
    </xf>
    <xf numFmtId="0" fontId="2" fillId="38" borderId="11" xfId="0" applyNumberFormat="1" applyFont="1" applyFill="1" applyBorder="1" applyAlignment="1">
      <alignment horizontal="center" vertical="center"/>
    </xf>
    <xf numFmtId="0" fontId="16" fillId="38" borderId="0" xfId="0" applyNumberFormat="1" applyFont="1" applyFill="1" applyAlignment="1">
      <alignment horizontal="left" vertical="center"/>
    </xf>
    <xf numFmtId="0" fontId="2" fillId="38" borderId="17" xfId="0" applyNumberFormat="1" applyFont="1" applyFill="1" applyBorder="1" applyAlignment="1">
      <alignment horizontal="center" vertical="center"/>
    </xf>
    <xf numFmtId="0" fontId="2" fillId="38" borderId="17" xfId="0" applyNumberFormat="1" applyFont="1" applyFill="1" applyBorder="1" applyAlignment="1">
      <alignment vertical="center"/>
    </xf>
    <xf numFmtId="0" fontId="2" fillId="38" borderId="13" xfId="0" applyNumberFormat="1" applyFont="1" applyFill="1" applyBorder="1" applyAlignment="1">
      <alignment horizontal="right" vertical="center"/>
    </xf>
    <xf numFmtId="0" fontId="2" fillId="38" borderId="14" xfId="0" applyNumberFormat="1" applyFont="1" applyFill="1" applyBorder="1" applyAlignment="1">
      <alignment horizontal="right" vertical="center"/>
    </xf>
    <xf numFmtId="0" fontId="2" fillId="38" borderId="13" xfId="0" applyNumberFormat="1" applyFont="1" applyFill="1" applyBorder="1" applyAlignment="1">
      <alignment vertical="center"/>
    </xf>
    <xf numFmtId="0" fontId="2" fillId="38" borderId="15" xfId="0" applyNumberFormat="1" applyFont="1" applyFill="1" applyBorder="1" applyAlignment="1">
      <alignment vertical="center"/>
    </xf>
    <xf numFmtId="0" fontId="19" fillId="38" borderId="21" xfId="0" applyNumberFormat="1" applyFont="1" applyFill="1" applyBorder="1" applyAlignment="1">
      <alignment vertical="center"/>
    </xf>
    <xf numFmtId="0" fontId="19" fillId="38" borderId="17" xfId="0" applyNumberFormat="1" applyFont="1" applyFill="1" applyBorder="1" applyAlignment="1">
      <alignment vertical="center"/>
    </xf>
    <xf numFmtId="0" fontId="20" fillId="39" borderId="17" xfId="0" applyNumberFormat="1" applyFont="1" applyFill="1" applyBorder="1" applyAlignment="1">
      <alignment horizontal="left" vertical="center"/>
    </xf>
    <xf numFmtId="1" fontId="2" fillId="40" borderId="22" xfId="0" applyNumberFormat="1" applyFont="1" applyFill="1" applyBorder="1" applyAlignment="1">
      <alignment vertical="center"/>
    </xf>
    <xf numFmtId="0" fontId="20" fillId="39" borderId="0" xfId="0" applyNumberFormat="1" applyFont="1" applyFill="1" applyAlignment="1">
      <alignment horizontal="left" vertical="center"/>
    </xf>
    <xf numFmtId="1" fontId="20" fillId="39" borderId="0" xfId="0" applyNumberFormat="1" applyFont="1" applyFill="1" applyAlignment="1">
      <alignment horizontal="left" vertical="center"/>
    </xf>
    <xf numFmtId="0" fontId="20" fillId="39" borderId="13" xfId="0" applyNumberFormat="1" applyFont="1" applyFill="1" applyBorder="1" applyAlignment="1">
      <alignment horizontal="left" vertical="center"/>
    </xf>
    <xf numFmtId="1" fontId="20" fillId="39" borderId="13" xfId="0" applyNumberFormat="1" applyFont="1" applyFill="1" applyBorder="1" applyAlignment="1">
      <alignment horizontal="left" vertical="center"/>
    </xf>
    <xf numFmtId="0" fontId="21" fillId="39" borderId="17" xfId="0" applyNumberFormat="1" applyFont="1" applyFill="1" applyBorder="1" applyAlignment="1">
      <alignment horizontal="left" vertical="center"/>
    </xf>
    <xf numFmtId="1" fontId="20" fillId="39" borderId="17" xfId="0" applyNumberFormat="1" applyFont="1" applyFill="1" applyBorder="1" applyAlignment="1">
      <alignment horizontal="left" vertical="center"/>
    </xf>
    <xf numFmtId="0" fontId="20" fillId="0" borderId="11" xfId="0" applyNumberFormat="1" applyFont="1" applyFill="1" applyBorder="1" applyAlignment="1">
      <alignment horizontal="center" vertical="center" wrapText="1"/>
    </xf>
    <xf numFmtId="49" fontId="2" fillId="38" borderId="0" xfId="0" applyNumberFormat="1" applyFont="1" applyFill="1" applyAlignment="1">
      <alignment vertical="center"/>
    </xf>
    <xf numFmtId="0" fontId="22" fillId="39" borderId="17" xfId="0" applyNumberFormat="1" applyFont="1" applyFill="1" applyBorder="1" applyAlignment="1">
      <alignment horizontal="left" vertical="center"/>
    </xf>
    <xf numFmtId="1" fontId="2" fillId="40" borderId="10" xfId="0" applyNumberFormat="1" applyFont="1" applyFill="1" applyBorder="1" applyAlignment="1">
      <alignment vertical="center"/>
    </xf>
    <xf numFmtId="1" fontId="2" fillId="38" borderId="10" xfId="0" applyNumberFormat="1" applyFont="1" applyFill="1" applyBorder="1" applyAlignment="1">
      <alignment vertical="center"/>
    </xf>
    <xf numFmtId="1" fontId="2" fillId="40" borderId="24" xfId="0" applyNumberFormat="1" applyFont="1" applyFill="1" applyBorder="1" applyAlignment="1">
      <alignment vertical="center"/>
    </xf>
    <xf numFmtId="0" fontId="2" fillId="38" borderId="0" xfId="0" applyNumberFormat="1" applyFont="1" applyFill="1" applyAlignment="1">
      <alignment horizontal="left" vertical="center"/>
    </xf>
    <xf numFmtId="0" fontId="11" fillId="38" borderId="0" xfId="0" applyNumberFormat="1" applyFont="1" applyFill="1" applyAlignment="1">
      <alignment vertical="center"/>
    </xf>
    <xf numFmtId="0" fontId="2" fillId="38" borderId="0" xfId="0" applyNumberFormat="1" applyFont="1" applyFill="1" applyAlignment="1">
      <alignment horizontal="center" vertical="center"/>
    </xf>
    <xf numFmtId="0" fontId="23" fillId="38" borderId="0" xfId="0" applyNumberFormat="1" applyFont="1" applyFill="1" applyAlignment="1">
      <alignment vertical="center"/>
    </xf>
    <xf numFmtId="0" fontId="15" fillId="38" borderId="0" xfId="0" applyNumberFormat="1" applyFont="1" applyFill="1" applyAlignment="1">
      <alignment vertical="center"/>
    </xf>
    <xf numFmtId="0" fontId="24" fillId="0" borderId="0" xfId="0" applyNumberFormat="1" applyFont="1" applyFill="1" applyAlignment="1">
      <alignment/>
    </xf>
    <xf numFmtId="0" fontId="20" fillId="0" borderId="0" xfId="0" applyNumberFormat="1" applyFont="1" applyFill="1" applyAlignment="1">
      <alignment horizontal="center"/>
    </xf>
    <xf numFmtId="0" fontId="2" fillId="38" borderId="21" xfId="0" applyNumberFormat="1" applyFont="1" applyFill="1" applyBorder="1" applyAlignment="1">
      <alignment horizontal="center" vertical="center"/>
    </xf>
    <xf numFmtId="0" fontId="0" fillId="0" borderId="23" xfId="0" applyNumberFormat="1" applyFont="1" applyFill="1" applyBorder="1" applyAlignment="1">
      <alignment wrapText="1"/>
    </xf>
    <xf numFmtId="0" fontId="0" fillId="0" borderId="24" xfId="0" applyNumberFormat="1" applyFont="1" applyFill="1" applyBorder="1" applyAlignment="1">
      <alignment wrapText="1"/>
    </xf>
    <xf numFmtId="0" fontId="17" fillId="0" borderId="11" xfId="0" applyNumberFormat="1" applyFont="1" applyFill="1" applyBorder="1" applyAlignment="1">
      <alignment horizontal="center" vertical="center"/>
    </xf>
    <xf numFmtId="173" fontId="2" fillId="38" borderId="0" xfId="0" applyNumberFormat="1" applyFont="1" applyFill="1" applyAlignment="1">
      <alignment vertical="center"/>
    </xf>
    <xf numFmtId="0" fontId="0" fillId="0" borderId="21" xfId="0" applyNumberFormat="1" applyFont="1" applyFill="1" applyBorder="1" applyAlignment="1">
      <alignment wrapText="1"/>
    </xf>
    <xf numFmtId="0" fontId="20" fillId="0" borderId="11"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8" fillId="0" borderId="22" xfId="0" applyNumberFormat="1" applyFont="1" applyFill="1" applyBorder="1" applyAlignment="1">
      <alignment horizontal="center"/>
    </xf>
    <xf numFmtId="0" fontId="11" fillId="0" borderId="24" xfId="0" applyNumberFormat="1" applyFont="1" applyFill="1" applyBorder="1" applyAlignment="1">
      <alignment horizontal="center" vertical="top"/>
    </xf>
    <xf numFmtId="0" fontId="26" fillId="0" borderId="15" xfId="0" applyNumberFormat="1" applyFont="1" applyFill="1" applyBorder="1" applyAlignment="1">
      <alignment horizontal="center"/>
    </xf>
    <xf numFmtId="0" fontId="24" fillId="0" borderId="20" xfId="0" applyNumberFormat="1" applyFont="1" applyFill="1" applyBorder="1" applyAlignment="1">
      <alignment horizontal="center"/>
    </xf>
    <xf numFmtId="0" fontId="26" fillId="0" borderId="14" xfId="0" applyNumberFormat="1" applyFont="1" applyFill="1" applyBorder="1" applyAlignment="1">
      <alignment horizontal="center"/>
    </xf>
    <xf numFmtId="0" fontId="11" fillId="0" borderId="21" xfId="0" applyNumberFormat="1" applyFont="1" applyFill="1" applyBorder="1" applyAlignment="1">
      <alignment horizontal="center"/>
    </xf>
    <xf numFmtId="0" fontId="11" fillId="0" borderId="17" xfId="0" applyNumberFormat="1" applyFont="1" applyFill="1" applyBorder="1" applyAlignment="1">
      <alignment horizontal="center"/>
    </xf>
    <xf numFmtId="175" fontId="11" fillId="0" borderId="22" xfId="0" applyNumberFormat="1" applyFont="1" applyFill="1" applyBorder="1" applyAlignment="1">
      <alignment/>
    </xf>
    <xf numFmtId="175" fontId="11" fillId="0" borderId="15" xfId="0" applyNumberFormat="1" applyFont="1" applyFill="1" applyBorder="1" applyAlignment="1">
      <alignment/>
    </xf>
    <xf numFmtId="0" fontId="11" fillId="0" borderId="23" xfId="0" applyNumberFormat="1" applyFont="1" applyFill="1" applyBorder="1" applyAlignment="1">
      <alignment horizontal="center"/>
    </xf>
    <xf numFmtId="175" fontId="11" fillId="0" borderId="24" xfId="0" applyNumberFormat="1" applyFont="1" applyFill="1" applyBorder="1" applyAlignment="1">
      <alignment/>
    </xf>
    <xf numFmtId="175" fontId="11" fillId="0" borderId="14" xfId="0" applyNumberFormat="1" applyFont="1" applyFill="1" applyBorder="1" applyAlignment="1">
      <alignment/>
    </xf>
    <xf numFmtId="0" fontId="20" fillId="0" borderId="12" xfId="0" applyNumberFormat="1" applyFont="1" applyFill="1" applyBorder="1" applyAlignment="1">
      <alignment horizontal="center"/>
    </xf>
    <xf numFmtId="0" fontId="20" fillId="0" borderId="0" xfId="0" applyNumberFormat="1" applyFont="1" applyFill="1" applyAlignment="1">
      <alignment horizontal="left"/>
    </xf>
    <xf numFmtId="0" fontId="20" fillId="0" borderId="10" xfId="0" applyNumberFormat="1" applyFont="1" applyFill="1" applyBorder="1" applyAlignment="1">
      <alignment horizontal="left"/>
    </xf>
    <xf numFmtId="0" fontId="11" fillId="0" borderId="18" xfId="0" applyNumberFormat="1" applyFont="1" applyFill="1" applyBorder="1" applyAlignment="1">
      <alignment horizontal="center"/>
    </xf>
    <xf numFmtId="0" fontId="11" fillId="0" borderId="19" xfId="0" applyNumberFormat="1" applyFont="1" applyFill="1" applyBorder="1" applyAlignment="1">
      <alignment horizontal="center"/>
    </xf>
    <xf numFmtId="175" fontId="11" fillId="0" borderId="20" xfId="0" applyNumberFormat="1" applyFont="1" applyFill="1" applyBorder="1" applyAlignment="1">
      <alignment/>
    </xf>
    <xf numFmtId="175" fontId="11" fillId="0" borderId="16" xfId="0" applyNumberFormat="1" applyFont="1" applyFill="1" applyBorder="1" applyAlignment="1">
      <alignment/>
    </xf>
    <xf numFmtId="175" fontId="26" fillId="0" borderId="15" xfId="0" applyNumberFormat="1" applyFont="1" applyFill="1" applyBorder="1" applyAlignment="1">
      <alignment/>
    </xf>
    <xf numFmtId="175" fontId="27" fillId="0" borderId="15" xfId="0" applyNumberFormat="1" applyFont="1" applyFill="1" applyBorder="1" applyAlignment="1">
      <alignment/>
    </xf>
    <xf numFmtId="0" fontId="11" fillId="0" borderId="12" xfId="0" applyNumberFormat="1" applyFont="1" applyFill="1" applyBorder="1" applyAlignment="1">
      <alignment horizontal="center"/>
    </xf>
    <xf numFmtId="175" fontId="11" fillId="0" borderId="10" xfId="0" applyNumberFormat="1" applyFont="1" applyFill="1" applyBorder="1" applyAlignment="1">
      <alignment/>
    </xf>
    <xf numFmtId="0" fontId="24" fillId="0" borderId="0" xfId="0" applyNumberFormat="1" applyFont="1" applyFill="1" applyAlignment="1">
      <alignment horizontal="left"/>
    </xf>
    <xf numFmtId="0" fontId="24" fillId="0" borderId="10" xfId="0" applyNumberFormat="1" applyFont="1" applyFill="1" applyBorder="1" applyAlignment="1">
      <alignment/>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175" fontId="11" fillId="0" borderId="20" xfId="0" applyNumberFormat="1" applyFont="1" applyFill="1" applyBorder="1" applyAlignment="1">
      <alignment vertical="center"/>
    </xf>
    <xf numFmtId="0" fontId="24" fillId="0" borderId="10" xfId="0" applyNumberFormat="1" applyFont="1" applyFill="1" applyBorder="1" applyAlignment="1">
      <alignment horizontal="left"/>
    </xf>
    <xf numFmtId="0" fontId="28" fillId="0" borderId="0" xfId="0" applyNumberFormat="1" applyFont="1" applyFill="1" applyAlignment="1">
      <alignment horizontal="right"/>
    </xf>
    <xf numFmtId="0" fontId="24" fillId="0" borderId="0" xfId="0" applyNumberFormat="1" applyFont="1" applyFill="1" applyAlignment="1">
      <alignment horizontal="right"/>
    </xf>
    <xf numFmtId="175" fontId="26" fillId="0" borderId="16" xfId="0" applyNumberFormat="1" applyFont="1" applyFill="1" applyBorder="1" applyAlignment="1">
      <alignment/>
    </xf>
    <xf numFmtId="175" fontId="26" fillId="0" borderId="11" xfId="0" applyNumberFormat="1" applyFont="1" applyFill="1" applyBorder="1" applyAlignment="1">
      <alignment/>
    </xf>
    <xf numFmtId="175" fontId="11" fillId="0" borderId="11" xfId="0" applyNumberFormat="1" applyFont="1" applyFill="1" applyBorder="1" applyAlignment="1">
      <alignment/>
    </xf>
    <xf numFmtId="0" fontId="20" fillId="0" borderId="0" xfId="0" applyNumberFormat="1" applyFont="1" applyFill="1" applyAlignment="1">
      <alignment/>
    </xf>
    <xf numFmtId="175" fontId="11" fillId="0" borderId="11" xfId="0" applyNumberFormat="1" applyFont="1" applyFill="1" applyBorder="1" applyAlignment="1">
      <alignment horizontal="right"/>
    </xf>
    <xf numFmtId="175" fontId="20" fillId="0" borderId="0" xfId="0" applyNumberFormat="1" applyFont="1" applyFill="1" applyAlignment="1">
      <alignment/>
    </xf>
    <xf numFmtId="0" fontId="11" fillId="0" borderId="19" xfId="0" applyNumberFormat="1" applyFont="1" applyFill="1" applyBorder="1" applyAlignment="1">
      <alignment/>
    </xf>
    <xf numFmtId="0" fontId="20" fillId="0" borderId="19" xfId="0" applyNumberFormat="1" applyFont="1" applyFill="1" applyBorder="1" applyAlignment="1">
      <alignment horizontal="right"/>
    </xf>
    <xf numFmtId="175" fontId="20" fillId="0" borderId="19" xfId="0" applyNumberFormat="1" applyFont="1" applyFill="1" applyBorder="1" applyAlignment="1">
      <alignment horizontal="center"/>
    </xf>
    <xf numFmtId="0" fontId="11" fillId="0" borderId="21" xfId="0" applyNumberFormat="1" applyFont="1" applyFill="1" applyBorder="1" applyAlignment="1">
      <alignment/>
    </xf>
    <xf numFmtId="175" fontId="8" fillId="0" borderId="15" xfId="0" applyNumberFormat="1" applyFont="1" applyFill="1" applyBorder="1" applyAlignment="1">
      <alignment/>
    </xf>
    <xf numFmtId="0" fontId="11" fillId="0" borderId="12" xfId="0" applyNumberFormat="1" applyFont="1" applyFill="1" applyBorder="1" applyAlignment="1">
      <alignment/>
    </xf>
    <xf numFmtId="175" fontId="8" fillId="0" borderId="14" xfId="0" applyNumberFormat="1" applyFont="1" applyFill="1" applyBorder="1" applyAlignment="1">
      <alignment/>
    </xf>
    <xf numFmtId="175" fontId="20" fillId="0" borderId="17"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0" borderId="24" xfId="0" applyNumberFormat="1" applyFont="1" applyFill="1" applyBorder="1" applyAlignment="1">
      <alignment/>
    </xf>
    <xf numFmtId="0" fontId="11" fillId="0" borderId="13" xfId="0" applyNumberFormat="1" applyFont="1" applyFill="1" applyBorder="1" applyAlignment="1">
      <alignment horizontal="center"/>
    </xf>
    <xf numFmtId="3" fontId="11" fillId="0" borderId="24" xfId="0" applyNumberFormat="1" applyFont="1" applyFill="1" applyBorder="1" applyAlignment="1">
      <alignment/>
    </xf>
    <xf numFmtId="3" fontId="27" fillId="0" borderId="16" xfId="0" applyNumberFormat="1" applyFont="1" applyFill="1" applyBorder="1" applyAlignment="1">
      <alignment/>
    </xf>
    <xf numFmtId="0" fontId="24" fillId="0" borderId="21" xfId="0" applyNumberFormat="1" applyFont="1" applyFill="1" applyBorder="1" applyAlignment="1">
      <alignment horizontal="center"/>
    </xf>
    <xf numFmtId="3" fontId="8" fillId="0" borderId="22" xfId="0" applyNumberFormat="1" applyFont="1" applyFill="1" applyBorder="1" applyAlignment="1">
      <alignment/>
    </xf>
    <xf numFmtId="0" fontId="8" fillId="0" borderId="12" xfId="0" applyNumberFormat="1" applyFont="1" applyFill="1" applyBorder="1" applyAlignment="1">
      <alignment horizontal="right"/>
    </xf>
    <xf numFmtId="3" fontId="8" fillId="0" borderId="10" xfId="0" applyNumberFormat="1" applyFont="1" applyFill="1" applyBorder="1" applyAlignment="1">
      <alignment/>
    </xf>
    <xf numFmtId="0" fontId="8" fillId="0" borderId="12" xfId="0" applyNumberFormat="1" applyFont="1" applyFill="1" applyBorder="1" applyAlignment="1">
      <alignment horizontal="left"/>
    </xf>
    <xf numFmtId="0" fontId="24" fillId="0" borderId="13" xfId="0" applyNumberFormat="1" applyFont="1" applyFill="1" applyBorder="1" applyAlignment="1">
      <alignment/>
    </xf>
    <xf numFmtId="0" fontId="8" fillId="0" borderId="17" xfId="0" applyNumberFormat="1" applyFont="1" applyFill="1" applyBorder="1" applyAlignment="1">
      <alignment horizontal="left"/>
    </xf>
    <xf numFmtId="0" fontId="20" fillId="0" borderId="21" xfId="0" applyNumberFormat="1" applyFont="1" applyFill="1" applyBorder="1" applyAlignment="1">
      <alignment horizontal="center" vertical="center"/>
    </xf>
    <xf numFmtId="0" fontId="0" fillId="0" borderId="22" xfId="0" applyNumberFormat="1" applyFont="1" applyFill="1" applyBorder="1" applyAlignment="1">
      <alignment wrapText="1"/>
    </xf>
    <xf numFmtId="0" fontId="20" fillId="0" borderId="22" xfId="0" applyNumberFormat="1" applyFont="1" applyFill="1" applyBorder="1" applyAlignment="1">
      <alignment horizontal="center" vertical="center"/>
    </xf>
    <xf numFmtId="0" fontId="20" fillId="0" borderId="11" xfId="0" applyNumberFormat="1" applyFont="1" applyFill="1" applyBorder="1" applyAlignment="1">
      <alignment vertical="center"/>
    </xf>
    <xf numFmtId="0" fontId="26" fillId="0" borderId="14" xfId="0" applyNumberFormat="1" applyFont="1" applyFill="1" applyBorder="1" applyAlignment="1">
      <alignment horizontal="center" vertical="center"/>
    </xf>
    <xf numFmtId="0" fontId="26" fillId="0" borderId="12" xfId="0" applyNumberFormat="1" applyFont="1" applyFill="1" applyBorder="1" applyAlignment="1">
      <alignment vertical="center"/>
    </xf>
    <xf numFmtId="0" fontId="26" fillId="0" borderId="0" xfId="0" applyNumberFormat="1" applyFont="1" applyFill="1" applyAlignment="1">
      <alignment vertical="center"/>
    </xf>
    <xf numFmtId="0" fontId="24" fillId="0" borderId="23" xfId="0" applyNumberFormat="1" applyFont="1" applyFill="1" applyBorder="1" applyAlignment="1">
      <alignment vertical="center"/>
    </xf>
    <xf numFmtId="175" fontId="20" fillId="0" borderId="24" xfId="0" applyNumberFormat="1" applyFont="1" applyFill="1" applyBorder="1" applyAlignment="1">
      <alignment vertical="center"/>
    </xf>
    <xf numFmtId="3" fontId="24" fillId="0" borderId="10" xfId="0" applyNumberFormat="1" applyFont="1" applyFill="1" applyBorder="1" applyAlignment="1">
      <alignment vertical="center"/>
    </xf>
    <xf numFmtId="175" fontId="20" fillId="0" borderId="10" xfId="0" applyNumberFormat="1" applyFont="1" applyFill="1" applyBorder="1" applyAlignment="1">
      <alignment vertical="center"/>
    </xf>
    <xf numFmtId="0" fontId="20" fillId="0" borderId="12" xfId="0" applyNumberFormat="1" applyFont="1" applyFill="1" applyBorder="1" applyAlignment="1">
      <alignment vertical="center"/>
    </xf>
    <xf numFmtId="0" fontId="20" fillId="0" borderId="0" xfId="0" applyNumberFormat="1" applyFont="1" applyFill="1" applyAlignment="1">
      <alignment vertical="center"/>
    </xf>
    <xf numFmtId="0" fontId="20" fillId="0" borderId="10" xfId="0" applyNumberFormat="1" applyFont="1" applyFill="1" applyBorder="1" applyAlignment="1">
      <alignment vertical="center"/>
    </xf>
    <xf numFmtId="0" fontId="24" fillId="0" borderId="18" xfId="0" applyNumberFormat="1" applyFont="1" applyFill="1" applyBorder="1" applyAlignment="1">
      <alignment vertical="center"/>
    </xf>
    <xf numFmtId="175" fontId="20" fillId="0" borderId="20" xfId="0" applyNumberFormat="1" applyFont="1" applyFill="1" applyBorder="1" applyAlignment="1">
      <alignment vertical="center"/>
    </xf>
    <xf numFmtId="0" fontId="24" fillId="0" borderId="21" xfId="0" applyNumberFormat="1" applyFont="1" applyFill="1" applyBorder="1" applyAlignment="1">
      <alignment vertical="center"/>
    </xf>
    <xf numFmtId="175" fontId="20" fillId="0" borderId="22" xfId="0" applyNumberFormat="1" applyFont="1" applyFill="1" applyBorder="1" applyAlignment="1">
      <alignment vertical="center"/>
    </xf>
    <xf numFmtId="0" fontId="28" fillId="0" borderId="0" xfId="0" applyNumberFormat="1" applyFont="1" applyFill="1" applyAlignment="1">
      <alignment horizontal="left" vertical="center"/>
    </xf>
    <xf numFmtId="3" fontId="20" fillId="0" borderId="0" xfId="0" applyNumberFormat="1" applyFont="1" applyFill="1" applyAlignment="1">
      <alignment/>
    </xf>
    <xf numFmtId="0" fontId="26" fillId="0" borderId="0" xfId="0" applyNumberFormat="1" applyFont="1" applyFill="1" applyAlignment="1">
      <alignment horizontal="left" vertical="center"/>
    </xf>
    <xf numFmtId="3" fontId="24" fillId="0" borderId="12" xfId="0" applyNumberFormat="1" applyFont="1" applyFill="1" applyBorder="1" applyAlignment="1">
      <alignment vertical="center"/>
    </xf>
    <xf numFmtId="175" fontId="11" fillId="0" borderId="10" xfId="0" applyNumberFormat="1" applyFont="1" applyFill="1" applyBorder="1" applyAlignment="1">
      <alignment vertical="center"/>
    </xf>
    <xf numFmtId="3" fontId="24" fillId="0" borderId="23" xfId="0" applyNumberFormat="1" applyFont="1" applyFill="1" applyBorder="1" applyAlignment="1">
      <alignment vertical="center"/>
    </xf>
    <xf numFmtId="3" fontId="24" fillId="0" borderId="21" xfId="0" applyNumberFormat="1" applyFont="1" applyFill="1" applyBorder="1" applyAlignment="1">
      <alignment vertical="center"/>
    </xf>
    <xf numFmtId="175" fontId="11" fillId="0" borderId="22" xfId="0" applyNumberFormat="1" applyFont="1" applyFill="1" applyBorder="1" applyAlignment="1">
      <alignment vertical="center"/>
    </xf>
    <xf numFmtId="0" fontId="24" fillId="0" borderId="10" xfId="0" applyNumberFormat="1" applyFont="1" applyFill="1" applyBorder="1" applyAlignment="1">
      <alignment vertical="center"/>
    </xf>
    <xf numFmtId="0" fontId="24" fillId="0" borderId="12" xfId="0" applyNumberFormat="1" applyFont="1" applyFill="1" applyBorder="1" applyAlignment="1">
      <alignment vertical="center"/>
    </xf>
    <xf numFmtId="3" fontId="24" fillId="0" borderId="18" xfId="0" applyNumberFormat="1" applyFont="1" applyFill="1" applyBorder="1" applyAlignment="1">
      <alignment vertical="center"/>
    </xf>
    <xf numFmtId="175" fontId="24" fillId="0" borderId="10" xfId="0" applyNumberFormat="1" applyFont="1" applyFill="1" applyBorder="1" applyAlignment="1">
      <alignment vertical="center"/>
    </xf>
    <xf numFmtId="0" fontId="26" fillId="0" borderId="14" xfId="0" applyNumberFormat="1" applyFont="1" applyFill="1" applyBorder="1" applyAlignment="1">
      <alignment horizontal="right" vertical="center"/>
    </xf>
    <xf numFmtId="0" fontId="20" fillId="0" borderId="0" xfId="0" applyNumberFormat="1" applyFont="1" applyFill="1" applyAlignment="1">
      <alignment horizontal="center" vertical="center"/>
    </xf>
    <xf numFmtId="0" fontId="20" fillId="0" borderId="23" xfId="0" applyNumberFormat="1" applyFont="1" applyFill="1" applyBorder="1" applyAlignment="1">
      <alignment vertical="center"/>
    </xf>
    <xf numFmtId="0" fontId="20" fillId="0" borderId="24" xfId="0" applyNumberFormat="1" applyFont="1" applyFill="1" applyBorder="1" applyAlignment="1">
      <alignment vertical="center"/>
    </xf>
    <xf numFmtId="3" fontId="24" fillId="0" borderId="12" xfId="0" applyNumberFormat="1" applyFont="1" applyFill="1" applyBorder="1" applyAlignment="1">
      <alignment horizontal="right" vertical="center"/>
    </xf>
    <xf numFmtId="3" fontId="24" fillId="0" borderId="0" xfId="0" applyNumberFormat="1" applyFont="1" applyFill="1" applyAlignment="1">
      <alignment vertical="center"/>
    </xf>
    <xf numFmtId="3" fontId="24" fillId="0" borderId="19" xfId="0" applyNumberFormat="1" applyFont="1" applyFill="1" applyBorder="1" applyAlignment="1">
      <alignment vertical="center"/>
    </xf>
    <xf numFmtId="175" fontId="20" fillId="0" borderId="19" xfId="0" applyNumberFormat="1" applyFont="1" applyFill="1" applyBorder="1" applyAlignment="1">
      <alignment vertical="center"/>
    </xf>
    <xf numFmtId="3" fontId="24" fillId="0" borderId="20" xfId="0" applyNumberFormat="1" applyFont="1" applyFill="1" applyBorder="1" applyAlignment="1">
      <alignment vertical="center"/>
    </xf>
    <xf numFmtId="3" fontId="24" fillId="0" borderId="17" xfId="0" applyNumberFormat="1" applyFont="1" applyFill="1" applyBorder="1" applyAlignment="1">
      <alignment vertical="center"/>
    </xf>
    <xf numFmtId="1" fontId="20" fillId="0" borderId="0" xfId="0" applyNumberFormat="1" applyFont="1" applyFill="1" applyAlignment="1">
      <alignment/>
    </xf>
    <xf numFmtId="175" fontId="20" fillId="0" borderId="0" xfId="0" applyNumberFormat="1" applyFont="1" applyFill="1" applyAlignment="1">
      <alignment vertical="center"/>
    </xf>
    <xf numFmtId="3" fontId="8" fillId="0" borderId="12" xfId="0" applyNumberFormat="1" applyFont="1" applyFill="1" applyBorder="1" applyAlignment="1">
      <alignment vertical="center"/>
    </xf>
    <xf numFmtId="175" fontId="11" fillId="0" borderId="0" xfId="0" applyNumberFormat="1" applyFont="1" applyFill="1" applyAlignment="1">
      <alignment vertical="center"/>
    </xf>
    <xf numFmtId="3" fontId="26" fillId="0" borderId="12" xfId="0" applyNumberFormat="1" applyFont="1" applyFill="1" applyBorder="1" applyAlignment="1">
      <alignment vertical="center"/>
    </xf>
    <xf numFmtId="3" fontId="26" fillId="0" borderId="0" xfId="0" applyNumberFormat="1" applyFont="1" applyFill="1" applyAlignment="1">
      <alignment vertical="center"/>
    </xf>
    <xf numFmtId="3" fontId="20" fillId="0" borderId="24" xfId="0" applyNumberFormat="1" applyFont="1" applyFill="1" applyBorder="1" applyAlignment="1">
      <alignment vertical="center"/>
    </xf>
    <xf numFmtId="3" fontId="28" fillId="0" borderId="12" xfId="0" applyNumberFormat="1" applyFont="1" applyFill="1" applyBorder="1" applyAlignment="1">
      <alignment horizontal="right" vertical="center"/>
    </xf>
    <xf numFmtId="3" fontId="8" fillId="0" borderId="18" xfId="0" applyNumberFormat="1" applyFont="1" applyFill="1" applyBorder="1" applyAlignment="1">
      <alignment vertical="center"/>
    </xf>
    <xf numFmtId="3" fontId="8" fillId="0" borderId="21" xfId="0" applyNumberFormat="1" applyFont="1" applyFill="1" applyBorder="1" applyAlignment="1">
      <alignment vertical="center"/>
    </xf>
    <xf numFmtId="3" fontId="11" fillId="0" borderId="0" xfId="0" applyNumberFormat="1" applyFont="1" applyFill="1" applyAlignment="1">
      <alignment horizontal="right"/>
    </xf>
    <xf numFmtId="0" fontId="26" fillId="0" borderId="16" xfId="0" applyNumberFormat="1" applyFont="1" applyFill="1" applyBorder="1" applyAlignment="1">
      <alignment vertical="center"/>
    </xf>
    <xf numFmtId="0" fontId="8" fillId="0" borderId="23" xfId="0" applyNumberFormat="1" applyFont="1" applyFill="1" applyBorder="1" applyAlignment="1">
      <alignment vertical="center"/>
    </xf>
    <xf numFmtId="0" fontId="11" fillId="0" borderId="24" xfId="0" applyNumberFormat="1" applyFont="1" applyFill="1" applyBorder="1" applyAlignment="1">
      <alignment vertical="center"/>
    </xf>
    <xf numFmtId="0" fontId="10" fillId="0" borderId="17" xfId="0" applyNumberFormat="1" applyFont="1" applyFill="1" applyBorder="1" applyAlignment="1">
      <alignment horizontal="left"/>
    </xf>
    <xf numFmtId="0" fontId="26" fillId="0" borderId="15" xfId="0" applyNumberFormat="1" applyFont="1" applyFill="1" applyBorder="1" applyAlignment="1">
      <alignment horizontal="right"/>
    </xf>
    <xf numFmtId="0" fontId="24" fillId="0" borderId="15" xfId="0" applyNumberFormat="1" applyFont="1" applyFill="1" applyBorder="1" applyAlignment="1">
      <alignment horizontal="center" vertical="center"/>
    </xf>
    <xf numFmtId="0" fontId="24" fillId="0" borderId="21" xfId="0" applyNumberFormat="1" applyFont="1" applyFill="1" applyBorder="1" applyAlignment="1">
      <alignment/>
    </xf>
    <xf numFmtId="175" fontId="24" fillId="0" borderId="22" xfId="0" applyNumberFormat="1" applyFont="1" applyFill="1" applyBorder="1" applyAlignment="1">
      <alignment/>
    </xf>
    <xf numFmtId="0" fontId="20" fillId="0" borderId="16" xfId="0" applyNumberFormat="1" applyFont="1" applyFill="1" applyBorder="1" applyAlignment="1">
      <alignment horizontal="center" vertical="top"/>
    </xf>
    <xf numFmtId="175" fontId="24" fillId="0" borderId="10" xfId="0" applyNumberFormat="1" applyFont="1" applyFill="1" applyBorder="1" applyAlignment="1">
      <alignment/>
    </xf>
    <xf numFmtId="0" fontId="10" fillId="0" borderId="14" xfId="0" applyNumberFormat="1" applyFont="1" applyFill="1" applyBorder="1" applyAlignment="1">
      <alignment/>
    </xf>
    <xf numFmtId="175" fontId="24" fillId="0" borderId="24" xfId="0" applyNumberFormat="1" applyFont="1" applyFill="1" applyBorder="1" applyAlignment="1">
      <alignment/>
    </xf>
    <xf numFmtId="0" fontId="20" fillId="0" borderId="18" xfId="0" applyNumberFormat="1" applyFont="1" applyFill="1" applyBorder="1" applyAlignment="1">
      <alignment vertical="center"/>
    </xf>
    <xf numFmtId="0" fontId="24" fillId="0" borderId="14" xfId="0" applyNumberFormat="1" applyFont="1" applyFill="1" applyBorder="1" applyAlignment="1">
      <alignment/>
    </xf>
    <xf numFmtId="0" fontId="20" fillId="0" borderId="18" xfId="0" applyNumberFormat="1" applyFont="1" applyFill="1" applyBorder="1" applyAlignment="1">
      <alignment/>
    </xf>
    <xf numFmtId="0" fontId="20" fillId="0" borderId="23" xfId="0" applyNumberFormat="1" applyFont="1" applyFill="1" applyBorder="1" applyAlignment="1">
      <alignment/>
    </xf>
    <xf numFmtId="3" fontId="20" fillId="0" borderId="0" xfId="0" applyNumberFormat="1" applyFont="1" applyFill="1" applyAlignment="1">
      <alignment horizontal="right" vertical="center"/>
    </xf>
    <xf numFmtId="0" fontId="20" fillId="0" borderId="10" xfId="0" applyNumberFormat="1" applyFont="1" applyFill="1" applyBorder="1" applyAlignment="1">
      <alignment/>
    </xf>
    <xf numFmtId="0" fontId="26" fillId="0" borderId="16" xfId="0" applyNumberFormat="1" applyFont="1" applyFill="1" applyBorder="1" applyAlignment="1">
      <alignment horizontal="center" vertical="center"/>
    </xf>
    <xf numFmtId="0" fontId="24" fillId="0" borderId="16" xfId="0" applyNumberFormat="1" applyFont="1" applyFill="1" applyBorder="1" applyAlignment="1">
      <alignment vertical="center"/>
    </xf>
    <xf numFmtId="0" fontId="24" fillId="0" borderId="18" xfId="0" applyNumberFormat="1" applyFont="1" applyFill="1" applyBorder="1" applyAlignment="1">
      <alignment/>
    </xf>
    <xf numFmtId="0" fontId="24" fillId="0" borderId="19" xfId="0" applyNumberFormat="1" applyFont="1" applyFill="1" applyBorder="1" applyAlignment="1">
      <alignment/>
    </xf>
    <xf numFmtId="0" fontId="24" fillId="0" borderId="20" xfId="0" applyNumberFormat="1" applyFont="1" applyFill="1" applyBorder="1" applyAlignment="1">
      <alignment/>
    </xf>
    <xf numFmtId="0" fontId="24" fillId="0" borderId="11" xfId="0" applyNumberFormat="1" applyFont="1" applyFill="1" applyBorder="1" applyAlignment="1">
      <alignment/>
    </xf>
    <xf numFmtId="0" fontId="24" fillId="0" borderId="22" xfId="0" applyNumberFormat="1" applyFont="1" applyFill="1" applyBorder="1" applyAlignment="1">
      <alignment/>
    </xf>
    <xf numFmtId="0" fontId="24" fillId="0" borderId="23" xfId="0" applyNumberFormat="1" applyFont="1" applyFill="1" applyBorder="1" applyAlignment="1">
      <alignment/>
    </xf>
    <xf numFmtId="0" fontId="24" fillId="0" borderId="15" xfId="0" applyNumberFormat="1" applyFont="1" applyFill="1" applyBorder="1" applyAlignment="1">
      <alignment horizontal="center"/>
    </xf>
    <xf numFmtId="0" fontId="24" fillId="0" borderId="15" xfId="0" applyNumberFormat="1" applyFont="1" applyFill="1" applyBorder="1" applyAlignment="1">
      <alignment/>
    </xf>
    <xf numFmtId="0" fontId="24" fillId="0" borderId="14" xfId="0" applyNumberFormat="1" applyFont="1" applyFill="1" applyBorder="1" applyAlignment="1">
      <alignment horizontal="center"/>
    </xf>
    <xf numFmtId="0" fontId="24" fillId="0" borderId="16" xfId="0" applyNumberFormat="1" applyFont="1" applyFill="1" applyBorder="1" applyAlignment="1">
      <alignment/>
    </xf>
    <xf numFmtId="0" fontId="24" fillId="0" borderId="11" xfId="0" applyNumberFormat="1" applyFont="1" applyFill="1" applyBorder="1" applyAlignment="1">
      <alignment horizontal="center"/>
    </xf>
    <xf numFmtId="0" fontId="24" fillId="0" borderId="18" xfId="0" applyNumberFormat="1" applyFont="1" applyFill="1" applyBorder="1" applyAlignment="1">
      <alignment horizontal="center"/>
    </xf>
    <xf numFmtId="1" fontId="10" fillId="0" borderId="0" xfId="0" applyNumberFormat="1" applyFont="1" applyFill="1" applyAlignment="1">
      <alignment/>
    </xf>
    <xf numFmtId="0" fontId="10" fillId="0" borderId="0" xfId="0" applyNumberFormat="1" applyFont="1" applyFill="1" applyAlignment="1">
      <alignment/>
    </xf>
    <xf numFmtId="0" fontId="24" fillId="0" borderId="12" xfId="0" applyNumberFormat="1" applyFont="1" applyFill="1" applyBorder="1" applyAlignment="1">
      <alignment/>
    </xf>
    <xf numFmtId="0" fontId="20" fillId="0" borderId="12" xfId="0" applyNumberFormat="1" applyFont="1" applyFill="1" applyBorder="1" applyAlignment="1">
      <alignment/>
    </xf>
    <xf numFmtId="0" fontId="10" fillId="0" borderId="17" xfId="0" applyNumberFormat="1" applyFont="1" applyFill="1" applyBorder="1" applyAlignment="1">
      <alignment/>
    </xf>
    <xf numFmtId="0" fontId="29" fillId="0" borderId="0" xfId="0" applyNumberFormat="1" applyFont="1" applyFill="1" applyAlignment="1">
      <alignment horizontal="center" vertical="center"/>
    </xf>
    <xf numFmtId="0" fontId="25" fillId="0" borderId="0" xfId="0" applyNumberFormat="1" applyFont="1" applyFill="1" applyAlignment="1">
      <alignment vertical="center"/>
    </xf>
    <xf numFmtId="0" fontId="2" fillId="0" borderId="0" xfId="0" applyNumberFormat="1" applyFont="1" applyFill="1" applyAlignment="1">
      <alignment vertical="center"/>
    </xf>
    <xf numFmtId="0" fontId="2" fillId="38" borderId="0" xfId="0" applyNumberFormat="1" applyFont="1" applyFill="1" applyBorder="1" applyAlignment="1">
      <alignment vertical="center"/>
    </xf>
    <xf numFmtId="0" fontId="2" fillId="0" borderId="17" xfId="0" applyNumberFormat="1" applyFont="1" applyFill="1" applyBorder="1" applyAlignment="1">
      <alignment horizontal="right" vertical="center"/>
    </xf>
    <xf numFmtId="0" fontId="0" fillId="0" borderId="0" xfId="0" applyFill="1" applyAlignment="1">
      <alignment vertical="center"/>
    </xf>
    <xf numFmtId="0" fontId="2" fillId="0" borderId="0" xfId="0" applyNumberFormat="1" applyFont="1" applyFill="1" applyAlignment="1">
      <alignment horizontal="right" vertical="center"/>
    </xf>
    <xf numFmtId="0" fontId="2" fillId="0" borderId="0" xfId="0" applyNumberFormat="1" applyFont="1" applyFill="1" applyAlignment="1">
      <alignment horizontal="left" vertical="center"/>
    </xf>
    <xf numFmtId="0" fontId="25" fillId="0" borderId="11" xfId="0" applyNumberFormat="1" applyFont="1" applyFill="1" applyBorder="1" applyAlignment="1">
      <alignment horizontal="center" vertical="center"/>
    </xf>
    <xf numFmtId="1" fontId="25" fillId="0" borderId="11"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1" fontId="25" fillId="0" borderId="11" xfId="0" applyNumberFormat="1" applyFont="1" applyFill="1" applyBorder="1" applyAlignment="1">
      <alignment horizontal="center" vertical="center"/>
    </xf>
    <xf numFmtId="174" fontId="25" fillId="0" borderId="11" xfId="0" applyNumberFormat="1" applyFont="1" applyFill="1" applyBorder="1" applyAlignment="1">
      <alignment horizontal="center" vertical="center"/>
    </xf>
    <xf numFmtId="0" fontId="25" fillId="0" borderId="11" xfId="0" applyNumberFormat="1" applyFont="1" applyFill="1" applyBorder="1" applyAlignment="1">
      <alignment vertical="center" wrapText="1"/>
    </xf>
    <xf numFmtId="0" fontId="25" fillId="0" borderId="11" xfId="0" applyNumberFormat="1" applyFont="1" applyFill="1" applyBorder="1" applyAlignment="1">
      <alignment horizontal="left" vertical="center" wrapText="1"/>
    </xf>
    <xf numFmtId="0" fontId="0" fillId="0" borderId="0" xfId="0" applyBorder="1" applyAlignment="1">
      <alignment vertical="center"/>
    </xf>
    <xf numFmtId="0" fontId="20" fillId="0" borderId="0" xfId="0" applyNumberFormat="1" applyFont="1" applyFill="1" applyBorder="1" applyAlignment="1">
      <alignment vertical="center"/>
    </xf>
    <xf numFmtId="0" fontId="20" fillId="0" borderId="0" xfId="0" applyNumberFormat="1" applyFont="1" applyFill="1" applyBorder="1" applyAlignment="1">
      <alignment horizontal="center" vertical="center"/>
    </xf>
    <xf numFmtId="0" fontId="0" fillId="0" borderId="0" xfId="0" applyNumberFormat="1" applyFont="1" applyFill="1" applyBorder="1" applyAlignment="1">
      <alignment wrapText="1"/>
    </xf>
    <xf numFmtId="175" fontId="27" fillId="0" borderId="20" xfId="0" applyNumberFormat="1" applyFont="1" applyFill="1" applyBorder="1" applyAlignment="1">
      <alignment vertical="center"/>
    </xf>
    <xf numFmtId="175" fontId="27" fillId="0" borderId="20" xfId="0" applyNumberFormat="1" applyFont="1" applyFill="1" applyBorder="1" applyAlignment="1">
      <alignment/>
    </xf>
    <xf numFmtId="175" fontId="25" fillId="0" borderId="22" xfId="0" applyNumberFormat="1" applyFont="1" applyFill="1" applyBorder="1" applyAlignment="1">
      <alignment/>
    </xf>
    <xf numFmtId="175" fontId="27" fillId="0" borderId="24" xfId="0" applyNumberFormat="1" applyFont="1" applyFill="1" applyBorder="1" applyAlignment="1">
      <alignment horizontal="right"/>
    </xf>
    <xf numFmtId="175" fontId="25" fillId="0" borderId="20" xfId="0" applyNumberFormat="1" applyFont="1" applyFill="1" applyBorder="1" applyAlignment="1">
      <alignment/>
    </xf>
    <xf numFmtId="0" fontId="25" fillId="0" borderId="19" xfId="0" applyNumberFormat="1" applyFont="1" applyFill="1" applyBorder="1" applyAlignment="1">
      <alignment/>
    </xf>
    <xf numFmtId="175" fontId="25" fillId="0" borderId="11" xfId="0" applyNumberFormat="1" applyFont="1" applyFill="1" applyBorder="1" applyAlignment="1">
      <alignment/>
    </xf>
    <xf numFmtId="0" fontId="25" fillId="0" borderId="0" xfId="0" applyNumberFormat="1" applyFont="1" applyFill="1" applyAlignment="1">
      <alignment/>
    </xf>
    <xf numFmtId="0" fontId="30" fillId="0" borderId="0" xfId="0" applyFont="1" applyAlignment="1">
      <alignment vertical="center"/>
    </xf>
    <xf numFmtId="0" fontId="87" fillId="42" borderId="11" xfId="0" applyNumberFormat="1" applyFont="1" applyFill="1" applyBorder="1" applyAlignment="1">
      <alignment wrapText="1"/>
    </xf>
    <xf numFmtId="0" fontId="88" fillId="42" borderId="11" xfId="0" applyNumberFormat="1" applyFont="1" applyFill="1" applyBorder="1" applyAlignment="1">
      <alignment vertical="center"/>
    </xf>
    <xf numFmtId="0" fontId="88" fillId="42" borderId="18" xfId="0" applyNumberFormat="1" applyFont="1" applyFill="1" applyBorder="1" applyAlignment="1">
      <alignment vertical="center"/>
    </xf>
    <xf numFmtId="0" fontId="88" fillId="42" borderId="19" xfId="0" applyNumberFormat="1" applyFont="1" applyFill="1" applyBorder="1" applyAlignment="1">
      <alignment vertical="center"/>
    </xf>
    <xf numFmtId="0" fontId="88" fillId="42" borderId="20" xfId="0" applyNumberFormat="1" applyFont="1" applyFill="1" applyBorder="1" applyAlignment="1">
      <alignment vertical="center"/>
    </xf>
    <xf numFmtId="0" fontId="87" fillId="42" borderId="19" xfId="0" applyNumberFormat="1" applyFont="1" applyFill="1" applyBorder="1" applyAlignment="1">
      <alignment wrapText="1"/>
    </xf>
    <xf numFmtId="0" fontId="89" fillId="43" borderId="11" xfId="0" applyNumberFormat="1" applyFont="1" applyFill="1" applyBorder="1" applyAlignment="1">
      <alignment vertical="center"/>
    </xf>
    <xf numFmtId="0" fontId="90" fillId="43" borderId="11" xfId="0" applyNumberFormat="1" applyFont="1" applyFill="1" applyBorder="1" applyAlignment="1">
      <alignment vertical="center"/>
    </xf>
    <xf numFmtId="0" fontId="90" fillId="43" borderId="11" xfId="0" applyNumberFormat="1" applyFont="1" applyFill="1" applyBorder="1" applyAlignment="1">
      <alignment horizontal="left" vertical="center"/>
    </xf>
    <xf numFmtId="0" fontId="91" fillId="44" borderId="11" xfId="0" applyNumberFormat="1" applyFont="1" applyFill="1" applyBorder="1" applyAlignment="1">
      <alignment vertical="center"/>
    </xf>
    <xf numFmtId="0" fontId="88" fillId="44" borderId="11" xfId="0" applyNumberFormat="1" applyFont="1" applyFill="1" applyBorder="1" applyAlignment="1">
      <alignment vertical="center"/>
    </xf>
    <xf numFmtId="3" fontId="26" fillId="0" borderId="10" xfId="0" applyNumberFormat="1" applyFont="1" applyFill="1" applyBorder="1" applyAlignment="1">
      <alignment vertical="center"/>
    </xf>
    <xf numFmtId="0" fontId="0" fillId="0" borderId="12" xfId="0" applyNumberFormat="1" applyFill="1" applyBorder="1" applyAlignment="1">
      <alignment wrapText="1"/>
    </xf>
    <xf numFmtId="0" fontId="0" fillId="10" borderId="11" xfId="0" applyNumberFormat="1" applyFont="1" applyFill="1" applyBorder="1" applyAlignment="1">
      <alignment wrapText="1"/>
    </xf>
    <xf numFmtId="0" fontId="33" fillId="10" borderId="18" xfId="0" applyNumberFormat="1" applyFont="1" applyFill="1" applyBorder="1" applyAlignment="1">
      <alignment horizontal="right" vertical="center"/>
    </xf>
    <xf numFmtId="0" fontId="33" fillId="10" borderId="20" xfId="0" applyNumberFormat="1" applyFont="1" applyFill="1" applyBorder="1" applyAlignment="1">
      <alignment vertical="center"/>
    </xf>
    <xf numFmtId="0" fontId="33" fillId="10" borderId="11" xfId="0" applyNumberFormat="1" applyFont="1" applyFill="1" applyBorder="1" applyAlignment="1">
      <alignment vertical="center"/>
    </xf>
    <xf numFmtId="0" fontId="33" fillId="10" borderId="18" xfId="0" applyNumberFormat="1" applyFont="1" applyFill="1" applyBorder="1" applyAlignment="1">
      <alignment vertical="center"/>
    </xf>
    <xf numFmtId="0" fontId="33" fillId="10" borderId="19" xfId="0" applyNumberFormat="1" applyFont="1" applyFill="1" applyBorder="1" applyAlignment="1">
      <alignment vertical="center"/>
    </xf>
    <xf numFmtId="0" fontId="33" fillId="10" borderId="11" xfId="0" applyNumberFormat="1" applyFont="1" applyFill="1" applyBorder="1" applyAlignment="1">
      <alignment horizontal="left" vertical="center"/>
    </xf>
    <xf numFmtId="0" fontId="33" fillId="10" borderId="11" xfId="0" applyNumberFormat="1" applyFont="1" applyFill="1" applyBorder="1" applyAlignment="1">
      <alignment horizontal="center" vertical="center"/>
    </xf>
    <xf numFmtId="0" fontId="33" fillId="10" borderId="11" xfId="0" applyNumberFormat="1" applyFont="1" applyFill="1" applyBorder="1" applyAlignment="1">
      <alignment vertical="center" wrapText="1"/>
    </xf>
    <xf numFmtId="0" fontId="33" fillId="10" borderId="11" xfId="0" applyNumberFormat="1" applyFont="1" applyFill="1" applyBorder="1" applyAlignment="1">
      <alignment horizontal="left" vertical="center" wrapText="1"/>
    </xf>
    <xf numFmtId="0" fontId="34" fillId="10" borderId="20" xfId="0" applyNumberFormat="1" applyFont="1" applyFill="1" applyBorder="1" applyAlignment="1">
      <alignment horizontal="center" vertical="center" wrapText="1"/>
    </xf>
    <xf numFmtId="0" fontId="33" fillId="10" borderId="11" xfId="0" applyNumberFormat="1" applyFont="1" applyFill="1" applyBorder="1" applyAlignment="1">
      <alignment horizontal="right" vertical="center"/>
    </xf>
    <xf numFmtId="0" fontId="36" fillId="10" borderId="20" xfId="0" applyNumberFormat="1" applyFont="1" applyFill="1" applyBorder="1" applyAlignment="1">
      <alignment vertical="center" wrapText="1"/>
    </xf>
    <xf numFmtId="0" fontId="34" fillId="10" borderId="18"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26" fillId="0" borderId="14" xfId="0" applyNumberFormat="1" applyFont="1" applyFill="1" applyBorder="1" applyAlignment="1">
      <alignment vertical="center"/>
    </xf>
    <xf numFmtId="0" fontId="25" fillId="0" borderId="11" xfId="0" applyNumberFormat="1" applyFont="1" applyFill="1" applyBorder="1" applyAlignment="1">
      <alignment/>
    </xf>
    <xf numFmtId="0" fontId="34" fillId="0" borderId="10" xfId="0" applyNumberFormat="1" applyFont="1" applyFill="1" applyBorder="1" applyAlignment="1">
      <alignment vertical="center"/>
    </xf>
    <xf numFmtId="175" fontId="0" fillId="0" borderId="0" xfId="0" applyNumberFormat="1" applyAlignment="1">
      <alignment vertical="center"/>
    </xf>
    <xf numFmtId="0" fontId="2" fillId="37" borderId="0" xfId="0" applyNumberFormat="1" applyFont="1" applyFill="1" applyBorder="1" applyAlignment="1">
      <alignment vertical="center"/>
    </xf>
    <xf numFmtId="0" fontId="2" fillId="41" borderId="17" xfId="0" applyNumberFormat="1" applyFont="1" applyFill="1" applyBorder="1" applyAlignment="1">
      <alignment vertical="center"/>
    </xf>
    <xf numFmtId="0" fontId="2" fillId="41" borderId="17" xfId="0" applyNumberFormat="1" applyFont="1" applyFill="1" applyBorder="1" applyAlignment="1">
      <alignment horizontal="right" vertical="center"/>
    </xf>
    <xf numFmtId="0" fontId="18" fillId="41" borderId="0" xfId="0" applyNumberFormat="1" applyFont="1" applyFill="1" applyBorder="1" applyAlignment="1">
      <alignment horizontal="center" vertical="center"/>
    </xf>
    <xf numFmtId="0" fontId="13" fillId="38" borderId="17" xfId="0" applyNumberFormat="1" applyFont="1" applyFill="1" applyBorder="1" applyAlignment="1">
      <alignment horizontal="left" vertical="center" wrapText="1"/>
    </xf>
    <xf numFmtId="0" fontId="2" fillId="40" borderId="17" xfId="0" applyNumberFormat="1" applyFont="1" applyFill="1" applyBorder="1" applyAlignment="1">
      <alignment vertical="center"/>
    </xf>
    <xf numFmtId="0" fontId="24" fillId="0" borderId="11" xfId="0" applyNumberFormat="1" applyFont="1" applyFill="1" applyBorder="1" applyAlignment="1">
      <alignment vertical="center" wrapText="1"/>
    </xf>
    <xf numFmtId="0" fontId="0" fillId="0" borderId="0" xfId="0" applyAlignment="1">
      <alignment horizontal="center" vertical="center"/>
    </xf>
    <xf numFmtId="0" fontId="30" fillId="0" borderId="11" xfId="0" applyFont="1" applyBorder="1" applyAlignment="1">
      <alignment horizontal="center" vertical="center"/>
    </xf>
    <xf numFmtId="0" fontId="0" fillId="0" borderId="0" xfId="0" applyBorder="1" applyAlignment="1">
      <alignment horizontal="center" vertical="center"/>
    </xf>
    <xf numFmtId="0" fontId="24" fillId="0" borderId="11" xfId="0" applyNumberFormat="1" applyFont="1" applyFill="1" applyBorder="1" applyAlignment="1">
      <alignment horizontal="center" vertical="center" wrapText="1"/>
    </xf>
    <xf numFmtId="0" fontId="38" fillId="45" borderId="0" xfId="0" applyNumberFormat="1" applyFont="1" applyFill="1" applyBorder="1" applyAlignment="1" applyProtection="1">
      <alignment horizontal="center" vertical="center"/>
      <protection/>
    </xf>
    <xf numFmtId="0" fontId="40" fillId="45"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wrapText="1"/>
      <protection/>
    </xf>
    <xf numFmtId="0" fontId="0" fillId="0" borderId="12" xfId="0" applyNumberFormat="1" applyFont="1" applyFill="1" applyBorder="1" applyAlignment="1" applyProtection="1">
      <alignment wrapText="1"/>
      <protection/>
    </xf>
    <xf numFmtId="0" fontId="0" fillId="0" borderId="13" xfId="0" applyNumberFormat="1" applyFont="1" applyFill="1" applyBorder="1" applyAlignment="1" applyProtection="1">
      <alignment wrapText="1"/>
      <protection/>
    </xf>
    <xf numFmtId="0" fontId="44" fillId="45" borderId="11" xfId="0" applyNumberFormat="1" applyFont="1" applyFill="1" applyBorder="1" applyAlignment="1" applyProtection="1">
      <alignment horizontal="center" vertical="center"/>
      <protection/>
    </xf>
    <xf numFmtId="0" fontId="38" fillId="45" borderId="12" xfId="0" applyNumberFormat="1" applyFont="1" applyFill="1" applyBorder="1" applyAlignment="1" applyProtection="1">
      <alignment horizontal="center" vertical="center"/>
      <protection/>
    </xf>
    <xf numFmtId="1" fontId="92" fillId="0" borderId="11" xfId="0" applyNumberFormat="1" applyFont="1" applyFill="1" applyBorder="1" applyAlignment="1" applyProtection="1">
      <alignment horizontal="center" vertical="center"/>
      <protection/>
    </xf>
    <xf numFmtId="0" fontId="92" fillId="46" borderId="11" xfId="0" applyNumberFormat="1" applyFont="1" applyFill="1" applyBorder="1" applyAlignment="1" applyProtection="1">
      <alignment horizontal="left" vertical="center"/>
      <protection/>
    </xf>
    <xf numFmtId="0" fontId="44" fillId="45" borderId="0" xfId="0" applyNumberFormat="1" applyFont="1" applyFill="1" applyBorder="1" applyAlignment="1" applyProtection="1">
      <alignment horizontal="left" vertical="center"/>
      <protection/>
    </xf>
    <xf numFmtId="0" fontId="92" fillId="0" borderId="11" xfId="0" applyNumberFormat="1" applyFont="1" applyFill="1" applyBorder="1" applyAlignment="1" applyProtection="1">
      <alignment horizontal="center" vertical="center"/>
      <protection/>
    </xf>
    <xf numFmtId="0" fontId="44" fillId="0" borderId="11" xfId="0" applyNumberFormat="1" applyFont="1" applyFill="1" applyBorder="1" applyAlignment="1" applyProtection="1">
      <alignment horizontal="center" vertical="center"/>
      <protection/>
    </xf>
    <xf numFmtId="0" fontId="44" fillId="46" borderId="11" xfId="0" applyNumberFormat="1" applyFont="1" applyFill="1" applyBorder="1" applyAlignment="1" applyProtection="1">
      <alignment horizontal="left" vertical="center"/>
      <protection/>
    </xf>
    <xf numFmtId="0" fontId="39" fillId="46" borderId="0" xfId="0" applyNumberFormat="1" applyFont="1" applyFill="1" applyBorder="1" applyAlignment="1" applyProtection="1">
      <alignment horizontal="center" vertical="center"/>
      <protection/>
    </xf>
    <xf numFmtId="0" fontId="41" fillId="46" borderId="12" xfId="0" applyNumberFormat="1" applyFont="1" applyFill="1" applyBorder="1" applyAlignment="1" applyProtection="1">
      <alignment horizontal="center" vertical="center"/>
      <protection/>
    </xf>
    <xf numFmtId="0" fontId="41" fillId="46" borderId="0" xfId="0" applyNumberFormat="1" applyFont="1" applyFill="1" applyBorder="1" applyAlignment="1" applyProtection="1">
      <alignment horizontal="center" vertical="center"/>
      <protection/>
    </xf>
    <xf numFmtId="0" fontId="42" fillId="46" borderId="12" xfId="0" applyNumberFormat="1" applyFont="1" applyFill="1" applyBorder="1" applyAlignment="1" applyProtection="1">
      <alignment horizontal="center" vertical="center"/>
      <protection/>
    </xf>
    <xf numFmtId="0" fontId="42" fillId="46" borderId="10" xfId="0" applyNumberFormat="1" applyFont="1" applyFill="1" applyBorder="1" applyAlignment="1" applyProtection="1">
      <alignment horizontal="center" vertical="center"/>
      <protection/>
    </xf>
    <xf numFmtId="0" fontId="43" fillId="46" borderId="10" xfId="0" applyNumberFormat="1" applyFont="1" applyFill="1" applyBorder="1" applyAlignment="1" applyProtection="1">
      <alignment horizontal="center" vertical="center"/>
      <protection/>
    </xf>
    <xf numFmtId="0" fontId="10" fillId="36" borderId="0" xfId="0" applyNumberFormat="1" applyFont="1" applyFill="1" applyAlignment="1">
      <alignment horizontal="left" vertical="center" wrapText="1"/>
    </xf>
    <xf numFmtId="0" fontId="9" fillId="36" borderId="0" xfId="0" applyNumberFormat="1" applyFont="1" applyFill="1" applyAlignment="1">
      <alignment horizontal="left" vertical="center"/>
    </xf>
    <xf numFmtId="0" fontId="11" fillId="36" borderId="0" xfId="0" applyNumberFormat="1" applyFont="1" applyFill="1" applyAlignment="1">
      <alignment horizontal="left" vertical="center" wrapText="1"/>
    </xf>
    <xf numFmtId="0" fontId="2" fillId="38" borderId="0" xfId="0" applyNumberFormat="1" applyFont="1" applyFill="1" applyAlignment="1">
      <alignment horizontal="left" vertical="center"/>
    </xf>
    <xf numFmtId="0" fontId="2" fillId="38" borderId="0" xfId="0" applyNumberFormat="1" applyFont="1" applyFill="1" applyAlignment="1">
      <alignment horizontal="center" vertical="center"/>
    </xf>
    <xf numFmtId="0" fontId="0" fillId="10" borderId="18" xfId="0" applyNumberFormat="1" applyFont="1" applyFill="1" applyBorder="1" applyAlignment="1">
      <alignment horizontal="center" wrapText="1"/>
    </xf>
    <xf numFmtId="0" fontId="0" fillId="10" borderId="20" xfId="0" applyNumberFormat="1" applyFont="1" applyFill="1" applyBorder="1" applyAlignment="1">
      <alignment horizontal="center" wrapText="1"/>
    </xf>
    <xf numFmtId="0" fontId="2" fillId="40" borderId="18" xfId="0" applyNumberFormat="1" applyFont="1" applyFill="1" applyBorder="1" applyAlignment="1">
      <alignment horizontal="center" vertical="center"/>
    </xf>
    <xf numFmtId="0" fontId="2" fillId="40" borderId="19" xfId="0" applyNumberFormat="1" applyFont="1" applyFill="1" applyBorder="1" applyAlignment="1">
      <alignment horizontal="center" vertical="center"/>
    </xf>
    <xf numFmtId="0" fontId="2" fillId="40" borderId="20" xfId="0" applyNumberFormat="1" applyFont="1" applyFill="1" applyBorder="1" applyAlignment="1">
      <alignment horizontal="center" vertical="center"/>
    </xf>
    <xf numFmtId="0" fontId="2" fillId="38" borderId="11" xfId="0" applyNumberFormat="1" applyFont="1" applyFill="1" applyBorder="1" applyAlignment="1">
      <alignment horizontal="left" vertical="center"/>
    </xf>
    <xf numFmtId="0" fontId="2" fillId="38" borderId="18" xfId="0" applyNumberFormat="1" applyFont="1" applyFill="1" applyBorder="1" applyAlignment="1">
      <alignment horizontal="right" vertical="center"/>
    </xf>
    <xf numFmtId="0" fontId="2" fillId="38" borderId="19" xfId="0" applyNumberFormat="1" applyFont="1" applyFill="1" applyBorder="1" applyAlignment="1">
      <alignment horizontal="right" vertical="center"/>
    </xf>
    <xf numFmtId="0" fontId="2" fillId="38" borderId="20" xfId="0" applyNumberFormat="1" applyFont="1" applyFill="1" applyBorder="1" applyAlignment="1">
      <alignment horizontal="right" vertical="center"/>
    </xf>
    <xf numFmtId="0" fontId="2" fillId="38" borderId="18" xfId="0" applyNumberFormat="1" applyFont="1" applyFill="1" applyBorder="1" applyAlignment="1">
      <alignment horizontal="center" vertical="center"/>
    </xf>
    <xf numFmtId="0" fontId="2" fillId="38" borderId="19" xfId="0" applyNumberFormat="1" applyFont="1" applyFill="1" applyBorder="1" applyAlignment="1">
      <alignment horizontal="center" vertical="center"/>
    </xf>
    <xf numFmtId="0" fontId="2" fillId="38" borderId="20" xfId="0" applyNumberFormat="1" applyFont="1" applyFill="1" applyBorder="1" applyAlignment="1">
      <alignment horizontal="center" vertical="center"/>
    </xf>
    <xf numFmtId="0" fontId="2" fillId="38" borderId="11" xfId="0" applyNumberFormat="1" applyFont="1" applyFill="1" applyBorder="1" applyAlignment="1">
      <alignment horizontal="center" vertical="center"/>
    </xf>
    <xf numFmtId="0" fontId="13" fillId="38" borderId="11" xfId="0" applyNumberFormat="1" applyFont="1" applyFill="1" applyBorder="1" applyAlignment="1">
      <alignment horizontal="left" vertical="center"/>
    </xf>
    <xf numFmtId="0" fontId="13" fillId="40" borderId="18" xfId="0" applyNumberFormat="1" applyFont="1" applyFill="1" applyBorder="1" applyAlignment="1">
      <alignment horizontal="center" vertical="center" wrapText="1"/>
    </xf>
    <xf numFmtId="0" fontId="13" fillId="40" borderId="20" xfId="0" applyNumberFormat="1" applyFont="1" applyFill="1" applyBorder="1" applyAlignment="1">
      <alignment horizontal="center" vertical="center" wrapText="1"/>
    </xf>
    <xf numFmtId="0" fontId="2" fillId="40" borderId="18" xfId="0" applyNumberFormat="1" applyFont="1" applyFill="1" applyBorder="1" applyAlignment="1">
      <alignment horizontal="left" vertical="center"/>
    </xf>
    <xf numFmtId="0" fontId="2" fillId="40" borderId="19" xfId="0" applyNumberFormat="1" applyFont="1" applyFill="1" applyBorder="1" applyAlignment="1">
      <alignment horizontal="left" vertical="center"/>
    </xf>
    <xf numFmtId="0" fontId="2" fillId="40" borderId="20" xfId="0" applyNumberFormat="1" applyFont="1" applyFill="1" applyBorder="1" applyAlignment="1">
      <alignment horizontal="left" vertical="center"/>
    </xf>
    <xf numFmtId="0" fontId="2" fillId="47" borderId="18" xfId="0" applyNumberFormat="1" applyFont="1" applyFill="1" applyBorder="1" applyAlignment="1">
      <alignment horizontal="left" vertical="center" wrapText="1"/>
    </xf>
    <xf numFmtId="0" fontId="2" fillId="47" borderId="19" xfId="0" applyNumberFormat="1" applyFont="1" applyFill="1" applyBorder="1" applyAlignment="1">
      <alignment horizontal="left" vertical="center" wrapText="1"/>
    </xf>
    <xf numFmtId="0" fontId="2" fillId="47" borderId="20" xfId="0" applyNumberFormat="1" applyFont="1" applyFill="1" applyBorder="1" applyAlignment="1">
      <alignment horizontal="left" vertical="center" wrapText="1"/>
    </xf>
    <xf numFmtId="0" fontId="2" fillId="47" borderId="18" xfId="0" applyNumberFormat="1" applyFont="1" applyFill="1" applyBorder="1" applyAlignment="1">
      <alignment horizontal="left" vertical="center"/>
    </xf>
    <xf numFmtId="0" fontId="2" fillId="47" borderId="19" xfId="0" applyNumberFormat="1" applyFont="1" applyFill="1" applyBorder="1" applyAlignment="1">
      <alignment horizontal="left" vertical="center"/>
    </xf>
    <xf numFmtId="0" fontId="2" fillId="47" borderId="20" xfId="0" applyNumberFormat="1" applyFont="1" applyFill="1" applyBorder="1" applyAlignment="1">
      <alignment horizontal="left" vertical="center"/>
    </xf>
    <xf numFmtId="0" fontId="2" fillId="48" borderId="18" xfId="0" applyNumberFormat="1" applyFont="1" applyFill="1" applyBorder="1" applyAlignment="1">
      <alignment horizontal="center" vertical="center"/>
    </xf>
    <xf numFmtId="0" fontId="2" fillId="48" borderId="20" xfId="0" applyNumberFormat="1" applyFont="1" applyFill="1" applyBorder="1" applyAlignment="1">
      <alignment horizontal="center" vertical="center"/>
    </xf>
    <xf numFmtId="0" fontId="37" fillId="10" borderId="18" xfId="0" applyNumberFormat="1" applyFont="1" applyFill="1" applyBorder="1" applyAlignment="1">
      <alignment horizontal="left" vertical="center"/>
    </xf>
    <xf numFmtId="0" fontId="37" fillId="10" borderId="20" xfId="0" applyNumberFormat="1" applyFont="1" applyFill="1" applyBorder="1" applyAlignment="1">
      <alignment horizontal="left" vertical="center"/>
    </xf>
    <xf numFmtId="0" fontId="34" fillId="10" borderId="18" xfId="0" applyNumberFormat="1" applyFont="1" applyFill="1" applyBorder="1" applyAlignment="1">
      <alignment horizontal="center" vertical="center"/>
    </xf>
    <xf numFmtId="0" fontId="34" fillId="10" borderId="19" xfId="0" applyNumberFormat="1" applyFont="1" applyFill="1" applyBorder="1" applyAlignment="1">
      <alignment horizontal="center" vertical="center"/>
    </xf>
    <xf numFmtId="0" fontId="34" fillId="10" borderId="20" xfId="0" applyNumberFormat="1" applyFont="1" applyFill="1" applyBorder="1" applyAlignment="1">
      <alignment horizontal="center" vertical="center"/>
    </xf>
    <xf numFmtId="0" fontId="34" fillId="10" borderId="18" xfId="0" applyNumberFormat="1" applyFont="1" applyFill="1" applyBorder="1" applyAlignment="1">
      <alignment horizontal="center" vertical="center" wrapText="1"/>
    </xf>
    <xf numFmtId="0" fontId="34" fillId="10" borderId="20" xfId="0" applyNumberFormat="1" applyFont="1" applyFill="1" applyBorder="1" applyAlignment="1">
      <alignment horizontal="center" vertical="center" wrapText="1"/>
    </xf>
    <xf numFmtId="0" fontId="88" fillId="44" borderId="18" xfId="0" applyNumberFormat="1" applyFont="1" applyFill="1" applyBorder="1" applyAlignment="1">
      <alignment horizontal="left" vertical="center"/>
    </xf>
    <xf numFmtId="0" fontId="88" fillId="44" borderId="19" xfId="0" applyNumberFormat="1" applyFont="1" applyFill="1" applyBorder="1" applyAlignment="1">
      <alignment horizontal="left" vertical="center"/>
    </xf>
    <xf numFmtId="0" fontId="88" fillId="44" borderId="20" xfId="0" applyNumberFormat="1" applyFont="1" applyFill="1" applyBorder="1" applyAlignment="1">
      <alignment horizontal="left" vertical="center"/>
    </xf>
    <xf numFmtId="0" fontId="33" fillId="10" borderId="18" xfId="0" applyNumberFormat="1" applyFont="1" applyFill="1" applyBorder="1" applyAlignment="1">
      <alignment horizontal="center" vertical="center"/>
    </xf>
    <xf numFmtId="0" fontId="33" fillId="10" borderId="20" xfId="0" applyNumberFormat="1" applyFont="1" applyFill="1" applyBorder="1" applyAlignment="1">
      <alignment horizontal="center" vertical="center"/>
    </xf>
    <xf numFmtId="0" fontId="34" fillId="10" borderId="19" xfId="0" applyNumberFormat="1" applyFont="1" applyFill="1" applyBorder="1" applyAlignment="1">
      <alignment horizontal="center" vertical="center" wrapText="1"/>
    </xf>
    <xf numFmtId="0" fontId="88" fillId="42" borderId="11" xfId="0" applyNumberFormat="1" applyFont="1" applyFill="1" applyBorder="1" applyAlignment="1">
      <alignment horizontal="left" vertical="center"/>
    </xf>
    <xf numFmtId="0" fontId="33" fillId="10" borderId="19" xfId="0" applyNumberFormat="1" applyFont="1" applyFill="1" applyBorder="1" applyAlignment="1">
      <alignment horizontal="center" vertical="center"/>
    </xf>
    <xf numFmtId="0" fontId="91" fillId="44" borderId="18" xfId="0" applyNumberFormat="1" applyFont="1" applyFill="1" applyBorder="1" applyAlignment="1">
      <alignment horizontal="left" vertical="center"/>
    </xf>
    <xf numFmtId="0" fontId="91" fillId="44" borderId="20" xfId="0" applyNumberFormat="1" applyFont="1" applyFill="1" applyBorder="1" applyAlignment="1">
      <alignment horizontal="left" vertical="center"/>
    </xf>
    <xf numFmtId="0" fontId="33" fillId="10" borderId="18" xfId="0" applyNumberFormat="1" applyFont="1" applyFill="1" applyBorder="1" applyAlignment="1">
      <alignment horizontal="left" vertical="center"/>
    </xf>
    <xf numFmtId="0" fontId="33" fillId="10" borderId="19" xfId="0" applyNumberFormat="1" applyFont="1" applyFill="1" applyBorder="1" applyAlignment="1">
      <alignment horizontal="left" vertical="center"/>
    </xf>
    <xf numFmtId="0" fontId="33" fillId="10" borderId="20" xfId="0" applyNumberFormat="1" applyFont="1" applyFill="1" applyBorder="1" applyAlignment="1">
      <alignment horizontal="left" vertical="center"/>
    </xf>
    <xf numFmtId="0" fontId="35" fillId="10" borderId="18" xfId="0" applyNumberFormat="1" applyFont="1" applyFill="1" applyBorder="1" applyAlignment="1">
      <alignment horizontal="center" vertical="center"/>
    </xf>
    <xf numFmtId="0" fontId="35" fillId="10" borderId="19" xfId="0" applyNumberFormat="1" applyFont="1" applyFill="1" applyBorder="1" applyAlignment="1">
      <alignment horizontal="center" vertical="center"/>
    </xf>
    <xf numFmtId="0" fontId="35" fillId="10" borderId="20" xfId="0" applyNumberFormat="1" applyFont="1" applyFill="1" applyBorder="1" applyAlignment="1">
      <alignment horizontal="center" vertical="center"/>
    </xf>
    <xf numFmtId="0" fontId="33" fillId="10" borderId="18" xfId="0" applyNumberFormat="1" applyFont="1" applyFill="1" applyBorder="1" applyAlignment="1">
      <alignment horizontal="center" vertical="center" wrapText="1"/>
    </xf>
    <xf numFmtId="0" fontId="33" fillId="10" borderId="19" xfId="0" applyNumberFormat="1" applyFont="1" applyFill="1" applyBorder="1" applyAlignment="1">
      <alignment horizontal="center" vertical="center" wrapText="1"/>
    </xf>
    <xf numFmtId="0" fontId="33" fillId="10" borderId="20" xfId="0" applyNumberFormat="1" applyFont="1" applyFill="1" applyBorder="1" applyAlignment="1">
      <alignment horizontal="center" vertical="center" wrapText="1"/>
    </xf>
    <xf numFmtId="0" fontId="90" fillId="43" borderId="18" xfId="0" applyNumberFormat="1" applyFont="1" applyFill="1" applyBorder="1" applyAlignment="1">
      <alignment horizontal="left" vertical="center" wrapText="1"/>
    </xf>
    <xf numFmtId="0" fontId="90" fillId="43" borderId="20" xfId="0" applyNumberFormat="1" applyFont="1" applyFill="1" applyBorder="1" applyAlignment="1">
      <alignment horizontal="left" vertical="center" wrapText="1"/>
    </xf>
    <xf numFmtId="0" fontId="88" fillId="44" borderId="18" xfId="0" applyNumberFormat="1" applyFont="1" applyFill="1" applyBorder="1" applyAlignment="1">
      <alignment horizontal="center" vertical="center"/>
    </xf>
    <xf numFmtId="0" fontId="88" fillId="44" borderId="19" xfId="0" applyNumberFormat="1" applyFont="1" applyFill="1" applyBorder="1" applyAlignment="1">
      <alignment horizontal="center" vertical="center"/>
    </xf>
    <xf numFmtId="0" fontId="88" fillId="44" borderId="20" xfId="0" applyNumberFormat="1" applyFont="1" applyFill="1" applyBorder="1" applyAlignment="1">
      <alignment horizontal="center" vertical="center"/>
    </xf>
    <xf numFmtId="172" fontId="33" fillId="10" borderId="18" xfId="0" applyNumberFormat="1" applyFont="1" applyFill="1" applyBorder="1" applyAlignment="1">
      <alignment horizontal="center" vertical="center" wrapText="1"/>
    </xf>
    <xf numFmtId="0" fontId="93" fillId="44" borderId="18" xfId="0" applyNumberFormat="1" applyFont="1" applyFill="1" applyBorder="1" applyAlignment="1">
      <alignment horizontal="center" vertical="center" wrapText="1"/>
    </xf>
    <xf numFmtId="0" fontId="93" fillId="44" borderId="19" xfId="0" applyNumberFormat="1" applyFont="1" applyFill="1" applyBorder="1" applyAlignment="1">
      <alignment horizontal="center" vertical="center" wrapText="1"/>
    </xf>
    <xf numFmtId="0" fontId="93" fillId="44" borderId="20" xfId="0" applyNumberFormat="1" applyFont="1" applyFill="1" applyBorder="1" applyAlignment="1">
      <alignment horizontal="center" vertical="center" wrapText="1"/>
    </xf>
    <xf numFmtId="0" fontId="34" fillId="10" borderId="18" xfId="0" applyNumberFormat="1" applyFont="1" applyFill="1" applyBorder="1" applyAlignment="1">
      <alignment horizontal="left" vertical="center"/>
    </xf>
    <xf numFmtId="0" fontId="34" fillId="10" borderId="19" xfId="0" applyNumberFormat="1" applyFont="1" applyFill="1" applyBorder="1" applyAlignment="1">
      <alignment horizontal="left" vertical="center"/>
    </xf>
    <xf numFmtId="0" fontId="34" fillId="10" borderId="20" xfId="0" applyNumberFormat="1" applyFont="1" applyFill="1" applyBorder="1" applyAlignment="1">
      <alignment horizontal="left" vertical="center"/>
    </xf>
    <xf numFmtId="0" fontId="94" fillId="43" borderId="18" xfId="0" applyNumberFormat="1" applyFont="1" applyFill="1" applyBorder="1" applyAlignment="1">
      <alignment horizontal="center" vertical="center"/>
    </xf>
    <xf numFmtId="0" fontId="94" fillId="43" borderId="19" xfId="0" applyNumberFormat="1" applyFont="1" applyFill="1" applyBorder="1" applyAlignment="1">
      <alignment horizontal="center" vertical="center"/>
    </xf>
    <xf numFmtId="0" fontId="94" fillId="43" borderId="20" xfId="0" applyNumberFormat="1" applyFont="1" applyFill="1" applyBorder="1" applyAlignment="1">
      <alignment horizontal="center" vertical="center"/>
    </xf>
    <xf numFmtId="0" fontId="88" fillId="44" borderId="18" xfId="0" applyNumberFormat="1" applyFont="1" applyFill="1" applyBorder="1" applyAlignment="1">
      <alignment horizontal="left" vertical="center" wrapText="1"/>
    </xf>
    <xf numFmtId="0" fontId="88" fillId="44" borderId="20" xfId="0" applyNumberFormat="1" applyFont="1" applyFill="1" applyBorder="1" applyAlignment="1">
      <alignment horizontal="left" vertical="center" wrapText="1"/>
    </xf>
    <xf numFmtId="0" fontId="33" fillId="10" borderId="11" xfId="0" applyNumberFormat="1" applyFont="1" applyFill="1" applyBorder="1" applyAlignment="1">
      <alignment horizontal="left" vertical="center"/>
    </xf>
    <xf numFmtId="0" fontId="25" fillId="0" borderId="0" xfId="0" applyNumberFormat="1" applyFont="1" applyFill="1" applyAlignment="1">
      <alignment horizontal="center" vertical="center"/>
    </xf>
    <xf numFmtId="0" fontId="25" fillId="0" borderId="18" xfId="0" applyNumberFormat="1" applyFont="1" applyFill="1" applyBorder="1" applyAlignment="1">
      <alignment horizontal="center" vertical="center"/>
    </xf>
    <xf numFmtId="0" fontId="25" fillId="0" borderId="2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11" fillId="0" borderId="0" xfId="0" applyNumberFormat="1" applyFont="1" applyFill="1" applyAlignment="1">
      <alignment horizontal="center"/>
    </xf>
    <xf numFmtId="0" fontId="11" fillId="0" borderId="10" xfId="0" applyNumberFormat="1" applyFont="1" applyFill="1" applyBorder="1" applyAlignment="1">
      <alignment horizontal="center"/>
    </xf>
    <xf numFmtId="174" fontId="20" fillId="0" borderId="19" xfId="0" applyNumberFormat="1" applyFont="1" applyFill="1" applyBorder="1" applyAlignment="1">
      <alignment horizontal="center"/>
    </xf>
    <xf numFmtId="0" fontId="20" fillId="0" borderId="0" xfId="0" applyNumberFormat="1" applyFont="1" applyFill="1" applyAlignment="1">
      <alignment horizontal="left"/>
    </xf>
    <xf numFmtId="0" fontId="26" fillId="0" borderId="23" xfId="0" applyNumberFormat="1" applyFont="1" applyFill="1" applyBorder="1" applyAlignment="1">
      <alignment horizontal="left"/>
    </xf>
    <xf numFmtId="0" fontId="26" fillId="0" borderId="13"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0" xfId="0" applyNumberFormat="1" applyFont="1" applyFill="1" applyAlignment="1">
      <alignment horizontal="left"/>
    </xf>
    <xf numFmtId="0" fontId="20" fillId="0" borderId="0" xfId="0" applyNumberFormat="1" applyFont="1" applyFill="1" applyAlignment="1">
      <alignment/>
    </xf>
    <xf numFmtId="0" fontId="20" fillId="0" borderId="12" xfId="0" applyNumberFormat="1" applyFont="1" applyFill="1" applyBorder="1" applyAlignment="1">
      <alignment horizontal="left"/>
    </xf>
    <xf numFmtId="0" fontId="26" fillId="0" borderId="12" xfId="0" applyNumberFormat="1" applyFont="1" applyFill="1" applyBorder="1" applyAlignment="1">
      <alignment horizontal="left"/>
    </xf>
    <xf numFmtId="0" fontId="26" fillId="0" borderId="0" xfId="0" applyNumberFormat="1" applyFont="1" applyFill="1" applyAlignment="1">
      <alignment horizontal="left"/>
    </xf>
    <xf numFmtId="0" fontId="24" fillId="0" borderId="0" xfId="0" applyNumberFormat="1" applyFont="1" applyFill="1" applyAlignment="1">
      <alignment horizontal="center"/>
    </xf>
    <xf numFmtId="0" fontId="26" fillId="0" borderId="10" xfId="0" applyNumberFormat="1" applyFont="1" applyFill="1" applyBorder="1" applyAlignment="1">
      <alignment horizontal="left"/>
    </xf>
    <xf numFmtId="0" fontId="24" fillId="0" borderId="0" xfId="0" applyNumberFormat="1" applyFont="1" applyFill="1" applyAlignment="1">
      <alignment horizontal="left"/>
    </xf>
    <xf numFmtId="0" fontId="24" fillId="0" borderId="10" xfId="0" applyNumberFormat="1" applyFont="1" applyFill="1" applyBorder="1" applyAlignment="1">
      <alignment horizontal="left"/>
    </xf>
    <xf numFmtId="0" fontId="11" fillId="0" borderId="10" xfId="0" applyNumberFormat="1" applyFont="1" applyFill="1" applyBorder="1" applyAlignment="1">
      <alignment horizontal="left"/>
    </xf>
    <xf numFmtId="0" fontId="20" fillId="0" borderId="10" xfId="0" applyNumberFormat="1" applyFont="1" applyFill="1" applyBorder="1" applyAlignment="1">
      <alignment horizontal="left"/>
    </xf>
    <xf numFmtId="0" fontId="26" fillId="0" borderId="21" xfId="0" applyNumberFormat="1" applyFont="1" applyFill="1" applyBorder="1" applyAlignment="1">
      <alignment horizontal="left"/>
    </xf>
    <xf numFmtId="0" fontId="26" fillId="0" borderId="17" xfId="0" applyNumberFormat="1" applyFont="1" applyFill="1" applyBorder="1" applyAlignment="1">
      <alignment horizontal="left"/>
    </xf>
    <xf numFmtId="0" fontId="26" fillId="0" borderId="22" xfId="0" applyNumberFormat="1" applyFont="1" applyFill="1" applyBorder="1" applyAlignment="1">
      <alignment horizontal="left"/>
    </xf>
    <xf numFmtId="0" fontId="20" fillId="0" borderId="23" xfId="0" applyNumberFormat="1" applyFont="1" applyFill="1" applyBorder="1" applyAlignment="1">
      <alignment horizontal="left" vertical="center"/>
    </xf>
    <xf numFmtId="0" fontId="20" fillId="0" borderId="13" xfId="0" applyNumberFormat="1" applyFont="1" applyFill="1" applyBorder="1" applyAlignment="1">
      <alignment horizontal="left" vertical="center"/>
    </xf>
    <xf numFmtId="0" fontId="11" fillId="0" borderId="13" xfId="0" applyNumberFormat="1" applyFont="1" applyFill="1" applyBorder="1" applyAlignment="1">
      <alignment horizontal="left" vertical="center" wrapText="1"/>
    </xf>
    <xf numFmtId="0" fontId="11" fillId="0" borderId="13" xfId="0" applyNumberFormat="1" applyFont="1" applyFill="1" applyBorder="1" applyAlignment="1">
      <alignment horizontal="center" vertical="center"/>
    </xf>
    <xf numFmtId="0" fontId="11" fillId="0" borderId="13" xfId="0" applyNumberFormat="1" applyFont="1" applyFill="1" applyBorder="1" applyAlignment="1">
      <alignment horizontal="left" vertical="center"/>
    </xf>
    <xf numFmtId="0" fontId="11" fillId="0" borderId="24" xfId="0" applyNumberFormat="1" applyFont="1" applyFill="1" applyBorder="1" applyAlignment="1">
      <alignment horizontal="left" vertical="center"/>
    </xf>
    <xf numFmtId="0" fontId="20" fillId="0" borderId="18" xfId="0" applyNumberFormat="1" applyFont="1" applyFill="1" applyBorder="1" applyAlignment="1">
      <alignment horizontal="left"/>
    </xf>
    <xf numFmtId="0" fontId="20" fillId="0" borderId="19" xfId="0" applyNumberFormat="1" applyFont="1" applyFill="1" applyBorder="1" applyAlignment="1">
      <alignment horizontal="left"/>
    </xf>
    <xf numFmtId="0" fontId="24" fillId="0" borderId="19" xfId="0" applyNumberFormat="1" applyFont="1" applyFill="1" applyBorder="1" applyAlignment="1">
      <alignment horizontal="center"/>
    </xf>
    <xf numFmtId="0" fontId="24" fillId="0" borderId="20" xfId="0" applyNumberFormat="1" applyFont="1" applyFill="1" applyBorder="1" applyAlignment="1">
      <alignment horizontal="center"/>
    </xf>
    <xf numFmtId="0" fontId="20" fillId="0" borderId="21" xfId="0" applyNumberFormat="1" applyFont="1" applyFill="1" applyBorder="1" applyAlignment="1">
      <alignment horizontal="center"/>
    </xf>
    <xf numFmtId="0" fontId="20" fillId="0" borderId="17" xfId="0" applyNumberFormat="1" applyFont="1" applyFill="1" applyBorder="1" applyAlignment="1">
      <alignment horizontal="center"/>
    </xf>
    <xf numFmtId="0" fontId="25" fillId="0" borderId="17" xfId="0" applyNumberFormat="1" applyFont="1" applyFill="1" applyBorder="1" applyAlignment="1">
      <alignment horizontal="center"/>
    </xf>
    <xf numFmtId="0" fontId="11" fillId="0" borderId="23" xfId="0" applyNumberFormat="1" applyFont="1" applyFill="1" applyBorder="1" applyAlignment="1">
      <alignment horizontal="center" vertical="top"/>
    </xf>
    <xf numFmtId="0" fontId="11" fillId="0" borderId="13" xfId="0" applyNumberFormat="1" applyFont="1" applyFill="1" applyBorder="1" applyAlignment="1">
      <alignment horizontal="center" vertical="top"/>
    </xf>
    <xf numFmtId="0" fontId="31" fillId="0" borderId="13" xfId="0" applyNumberFormat="1" applyFont="1" applyFill="1" applyBorder="1" applyAlignment="1">
      <alignment horizontal="center" vertical="center"/>
    </xf>
    <xf numFmtId="0" fontId="10" fillId="0" borderId="21" xfId="0" applyNumberFormat="1" applyFont="1" applyFill="1" applyBorder="1" applyAlignment="1">
      <alignment horizontal="left" vertical="center"/>
    </xf>
    <xf numFmtId="0" fontId="10" fillId="0" borderId="17" xfId="0" applyNumberFormat="1" applyFont="1" applyFill="1" applyBorder="1" applyAlignment="1">
      <alignment horizontal="left" vertical="center"/>
    </xf>
    <xf numFmtId="0" fontId="11" fillId="0" borderId="17" xfId="0" applyNumberFormat="1" applyFont="1" applyFill="1" applyBorder="1" applyAlignment="1">
      <alignment horizontal="left" vertical="center"/>
    </xf>
    <xf numFmtId="0" fontId="11" fillId="0" borderId="17" xfId="0" applyNumberFormat="1" applyFont="1" applyFill="1" applyBorder="1" applyAlignment="1">
      <alignment horizontal="center" vertical="center"/>
    </xf>
    <xf numFmtId="0" fontId="11" fillId="0" borderId="22" xfId="0" applyNumberFormat="1" applyFont="1" applyFill="1" applyBorder="1" applyAlignment="1">
      <alignment horizontal="left" vertical="center"/>
    </xf>
    <xf numFmtId="3" fontId="24" fillId="0" borderId="0" xfId="0" applyNumberFormat="1" applyFont="1" applyFill="1" applyAlignment="1">
      <alignment vertical="center"/>
    </xf>
    <xf numFmtId="3" fontId="26" fillId="0" borderId="12" xfId="0" applyNumberFormat="1" applyFont="1" applyFill="1" applyBorder="1" applyAlignment="1">
      <alignment vertical="center"/>
    </xf>
    <xf numFmtId="3" fontId="26" fillId="0" borderId="0" xfId="0" applyNumberFormat="1" applyFont="1" applyFill="1" applyAlignment="1">
      <alignment vertical="center"/>
    </xf>
    <xf numFmtId="3" fontId="26" fillId="0" borderId="10" xfId="0" applyNumberFormat="1" applyFont="1" applyFill="1" applyBorder="1" applyAlignment="1">
      <alignment vertical="center"/>
    </xf>
    <xf numFmtId="0" fontId="25" fillId="0" borderId="21" xfId="0" applyNumberFormat="1" applyFont="1" applyFill="1" applyBorder="1" applyAlignment="1">
      <alignment vertical="center"/>
    </xf>
    <xf numFmtId="0" fontId="25" fillId="0" borderId="17" xfId="0" applyNumberFormat="1" applyFont="1" applyFill="1" applyBorder="1" applyAlignment="1">
      <alignment vertical="center"/>
    </xf>
    <xf numFmtId="0" fontId="24" fillId="0" borderId="17" xfId="0" applyNumberFormat="1" applyFont="1" applyFill="1" applyBorder="1" applyAlignment="1">
      <alignment vertical="center"/>
    </xf>
    <xf numFmtId="0" fontId="24" fillId="0" borderId="22" xfId="0" applyNumberFormat="1" applyFont="1" applyFill="1" applyBorder="1" applyAlignment="1">
      <alignment vertical="center"/>
    </xf>
    <xf numFmtId="0" fontId="25" fillId="0" borderId="23" xfId="0" applyNumberFormat="1" applyFont="1" applyFill="1" applyBorder="1" applyAlignment="1">
      <alignment vertical="center"/>
    </xf>
    <xf numFmtId="0" fontId="25" fillId="0" borderId="13" xfId="0" applyNumberFormat="1" applyFont="1" applyFill="1" applyBorder="1" applyAlignment="1">
      <alignment vertical="center"/>
    </xf>
    <xf numFmtId="0" fontId="24" fillId="0" borderId="13" xfId="0" applyNumberFormat="1" applyFont="1" applyFill="1" applyBorder="1" applyAlignment="1">
      <alignment vertical="center"/>
    </xf>
    <xf numFmtId="0" fontId="24" fillId="0" borderId="24" xfId="0" applyNumberFormat="1" applyFont="1" applyFill="1" applyBorder="1" applyAlignment="1">
      <alignment vertical="center"/>
    </xf>
    <xf numFmtId="0" fontId="34" fillId="0" borderId="23" xfId="0" applyFont="1" applyBorder="1" applyAlignment="1">
      <alignment horizontal="left" vertical="center" wrapText="1"/>
    </xf>
    <xf numFmtId="0" fontId="34" fillId="0" borderId="13" xfId="0" applyFont="1" applyBorder="1" applyAlignment="1">
      <alignment horizontal="left" vertical="center" wrapText="1"/>
    </xf>
    <xf numFmtId="0" fontId="34" fillId="0" borderId="24" xfId="0" applyFont="1" applyBorder="1" applyAlignment="1">
      <alignment horizontal="left" vertical="center" wrapText="1"/>
    </xf>
    <xf numFmtId="3" fontId="11" fillId="0" borderId="12" xfId="0" applyNumberFormat="1" applyFont="1" applyFill="1" applyBorder="1" applyAlignment="1">
      <alignment vertical="center"/>
    </xf>
    <xf numFmtId="3" fontId="11" fillId="0" borderId="0" xfId="0" applyNumberFormat="1" applyFont="1" applyFill="1" applyAlignment="1">
      <alignment vertical="center"/>
    </xf>
    <xf numFmtId="3" fontId="11" fillId="0" borderId="10" xfId="0" applyNumberFormat="1" applyFont="1" applyFill="1" applyBorder="1" applyAlignment="1">
      <alignment vertical="center"/>
    </xf>
    <xf numFmtId="0" fontId="11" fillId="0" borderId="12" xfId="0" applyNumberFormat="1" applyFont="1" applyFill="1" applyBorder="1" applyAlignment="1">
      <alignment vertical="center"/>
    </xf>
    <xf numFmtId="0" fontId="11" fillId="0" borderId="0" xfId="0" applyNumberFormat="1" applyFont="1" applyFill="1" applyAlignment="1">
      <alignment vertical="center"/>
    </xf>
    <xf numFmtId="0" fontId="20" fillId="0" borderId="12"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3" fontId="11" fillId="0" borderId="12" xfId="0" applyNumberFormat="1" applyFont="1" applyFill="1" applyBorder="1" applyAlignment="1">
      <alignment horizontal="left" vertical="center"/>
    </xf>
    <xf numFmtId="3" fontId="11" fillId="0" borderId="0" xfId="0" applyNumberFormat="1" applyFont="1" applyFill="1" applyAlignment="1">
      <alignment horizontal="left" vertical="center"/>
    </xf>
    <xf numFmtId="3" fontId="11" fillId="0" borderId="10" xfId="0" applyNumberFormat="1" applyFont="1" applyFill="1" applyBorder="1" applyAlignment="1">
      <alignment horizontal="left" vertical="center"/>
    </xf>
    <xf numFmtId="0" fontId="20" fillId="0" borderId="12" xfId="0" applyNumberFormat="1" applyFont="1" applyFill="1" applyBorder="1" applyAlignment="1">
      <alignment vertical="center"/>
    </xf>
    <xf numFmtId="0" fontId="20" fillId="0" borderId="0" xfId="0" applyNumberFormat="1" applyFont="1" applyFill="1" applyAlignment="1">
      <alignment vertical="center"/>
    </xf>
    <xf numFmtId="0" fontId="20" fillId="0" borderId="10" xfId="0" applyNumberFormat="1" applyFont="1" applyFill="1" applyBorder="1" applyAlignment="1">
      <alignment vertical="center"/>
    </xf>
    <xf numFmtId="0" fontId="26" fillId="0" borderId="12" xfId="0" applyNumberFormat="1" applyFont="1" applyFill="1" applyBorder="1" applyAlignment="1">
      <alignment vertical="center"/>
    </xf>
    <xf numFmtId="0" fontId="26" fillId="0" borderId="0" xfId="0" applyNumberFormat="1" applyFont="1" applyFill="1" applyAlignment="1">
      <alignment vertical="center"/>
    </xf>
    <xf numFmtId="0" fontId="26" fillId="0" borderId="10" xfId="0" applyNumberFormat="1" applyFont="1" applyFill="1" applyBorder="1" applyAlignment="1">
      <alignment vertical="center"/>
    </xf>
    <xf numFmtId="0" fontId="24" fillId="0" borderId="21" xfId="0" applyNumberFormat="1" applyFont="1" applyFill="1" applyBorder="1" applyAlignment="1">
      <alignment horizontal="center"/>
    </xf>
    <xf numFmtId="0" fontId="24" fillId="0" borderId="17" xfId="0" applyNumberFormat="1" applyFont="1" applyFill="1" applyBorder="1" applyAlignment="1">
      <alignment horizontal="center"/>
    </xf>
    <xf numFmtId="0" fontId="24" fillId="0" borderId="22" xfId="0" applyNumberFormat="1" applyFont="1" applyFill="1" applyBorder="1" applyAlignment="1">
      <alignment horizontal="center"/>
    </xf>
    <xf numFmtId="0" fontId="27" fillId="0" borderId="18" xfId="0" applyNumberFormat="1" applyFont="1" applyFill="1" applyBorder="1" applyAlignment="1">
      <alignment horizontal="center" vertical="center"/>
    </xf>
    <xf numFmtId="0" fontId="27" fillId="0" borderId="19" xfId="0" applyNumberFormat="1" applyFont="1" applyFill="1" applyBorder="1" applyAlignment="1">
      <alignment horizontal="center" vertical="center"/>
    </xf>
    <xf numFmtId="0" fontId="27" fillId="0" borderId="20"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174" fontId="11" fillId="0" borderId="2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20" fillId="0" borderId="18"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0" fontId="20" fillId="0" borderId="21"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xf>
    <xf numFmtId="0" fontId="20" fillId="0" borderId="23" xfId="0" applyNumberFormat="1" applyFont="1" applyFill="1" applyBorder="1" applyAlignment="1">
      <alignment horizontal="center" vertical="center"/>
    </xf>
    <xf numFmtId="0" fontId="20" fillId="0" borderId="24"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175" fontId="11" fillId="0" borderId="12" xfId="0" applyNumberFormat="1" applyFont="1" applyFill="1" applyBorder="1" applyAlignment="1">
      <alignment horizontal="center"/>
    </xf>
    <xf numFmtId="175" fontId="11" fillId="0" borderId="0" xfId="0" applyNumberFormat="1" applyFont="1" applyFill="1" applyAlignment="1">
      <alignment horizontal="center"/>
    </xf>
    <xf numFmtId="175" fontId="11" fillId="0" borderId="10" xfId="0" applyNumberFormat="1" applyFont="1" applyFill="1" applyBorder="1" applyAlignment="1">
      <alignment horizontal="center"/>
    </xf>
    <xf numFmtId="175" fontId="20" fillId="0" borderId="12" xfId="0" applyNumberFormat="1" applyFont="1" applyFill="1" applyBorder="1" applyAlignment="1">
      <alignment horizontal="center"/>
    </xf>
    <xf numFmtId="175" fontId="20" fillId="0" borderId="0" xfId="0" applyNumberFormat="1" applyFont="1" applyFill="1" applyAlignment="1">
      <alignment horizontal="center"/>
    </xf>
    <xf numFmtId="175" fontId="20" fillId="0" borderId="10" xfId="0" applyNumberFormat="1" applyFont="1" applyFill="1" applyBorder="1" applyAlignment="1">
      <alignment horizontal="center"/>
    </xf>
    <xf numFmtId="0" fontId="26" fillId="0" borderId="21"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0" xfId="0" applyNumberFormat="1" applyFont="1" applyFill="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23"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wrapText="1"/>
    </xf>
    <xf numFmtId="0" fontId="24" fillId="0" borderId="18"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xf>
    <xf numFmtId="0" fontId="10" fillId="0" borderId="0" xfId="0" applyNumberFormat="1" applyFont="1" applyFill="1" applyAlignment="1">
      <alignment horizontal="left" vertical="center" wrapText="1"/>
    </xf>
    <xf numFmtId="0" fontId="32" fillId="0" borderId="25"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32" fillId="0" borderId="26" xfId="0" applyFont="1" applyBorder="1" applyAlignment="1" applyProtection="1">
      <alignment horizontal="left" vertical="center" wrapText="1"/>
      <protection hidden="1"/>
    </xf>
    <xf numFmtId="176" fontId="20" fillId="0" borderId="0" xfId="0" applyNumberFormat="1" applyFont="1" applyFill="1" applyAlignment="1">
      <alignment horizontal="left"/>
    </xf>
    <xf numFmtId="0" fontId="24" fillId="0" borderId="18" xfId="0" applyNumberFormat="1" applyFont="1" applyFill="1" applyBorder="1" applyAlignment="1">
      <alignment horizontal="center"/>
    </xf>
    <xf numFmtId="0" fontId="11" fillId="0" borderId="12"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24" fillId="0" borderId="12" xfId="0" applyNumberFormat="1" applyFont="1" applyFill="1" applyBorder="1" applyAlignment="1">
      <alignment horizontal="center"/>
    </xf>
    <xf numFmtId="0" fontId="24" fillId="0" borderId="10" xfId="0" applyNumberFormat="1" applyFont="1" applyFill="1" applyBorder="1" applyAlignment="1">
      <alignment horizontal="center"/>
    </xf>
    <xf numFmtId="0" fontId="24" fillId="0" borderId="23" xfId="0" applyNumberFormat="1" applyFont="1" applyFill="1" applyBorder="1" applyAlignment="1">
      <alignment horizontal="center"/>
    </xf>
    <xf numFmtId="0" fontId="24" fillId="0" borderId="24" xfId="0" applyNumberFormat="1" applyFont="1" applyFill="1" applyBorder="1" applyAlignment="1">
      <alignment horizontal="center"/>
    </xf>
    <xf numFmtId="0" fontId="26" fillId="0" borderId="23" xfId="0" applyNumberFormat="1" applyFont="1" applyFill="1" applyBorder="1" applyAlignment="1">
      <alignment horizontal="left" vertical="center"/>
    </xf>
    <xf numFmtId="0" fontId="26" fillId="0" borderId="13" xfId="0" applyNumberFormat="1" applyFont="1" applyFill="1" applyBorder="1" applyAlignment="1">
      <alignment horizontal="left" vertical="center"/>
    </xf>
    <xf numFmtId="0" fontId="26" fillId="0" borderId="12" xfId="0" applyNumberFormat="1" applyFont="1" applyFill="1" applyBorder="1" applyAlignment="1">
      <alignment horizontal="center"/>
    </xf>
    <xf numFmtId="0" fontId="26" fillId="0" borderId="0" xfId="0" applyNumberFormat="1" applyFont="1" applyFill="1" applyAlignment="1">
      <alignment horizontal="center"/>
    </xf>
    <xf numFmtId="0" fontId="26" fillId="0" borderId="10" xfId="0" applyNumberFormat="1" applyFont="1" applyFill="1" applyBorder="1" applyAlignment="1">
      <alignment horizontal="center"/>
    </xf>
    <xf numFmtId="0" fontId="20" fillId="0" borderId="12" xfId="0" applyNumberFormat="1" applyFont="1" applyFill="1" applyBorder="1" applyAlignment="1">
      <alignment horizontal="center"/>
    </xf>
    <xf numFmtId="0" fontId="20" fillId="0" borderId="0" xfId="0" applyNumberFormat="1" applyFont="1" applyFill="1" applyAlignment="1">
      <alignment horizontal="center"/>
    </xf>
    <xf numFmtId="0" fontId="20" fillId="0" borderId="10" xfId="0" applyNumberFormat="1" applyFont="1" applyFill="1" applyBorder="1" applyAlignment="1">
      <alignment horizontal="center"/>
    </xf>
    <xf numFmtId="0" fontId="20" fillId="0" borderId="10" xfId="0" applyNumberFormat="1" applyFont="1" applyFill="1" applyBorder="1" applyAlignment="1">
      <alignment/>
    </xf>
    <xf numFmtId="0" fontId="20" fillId="0" borderId="22" xfId="0" applyNumberFormat="1" applyFont="1" applyFill="1" applyBorder="1" applyAlignment="1">
      <alignment horizontal="center"/>
    </xf>
    <xf numFmtId="0" fontId="26" fillId="0" borderId="12" xfId="0" applyNumberFormat="1" applyFont="1" applyFill="1" applyBorder="1" applyAlignment="1">
      <alignment horizontal="left" vertical="top"/>
    </xf>
    <xf numFmtId="0" fontId="26" fillId="0" borderId="0" xfId="0" applyNumberFormat="1" applyFont="1" applyFill="1" applyAlignment="1">
      <alignment horizontal="left" vertical="top"/>
    </xf>
    <xf numFmtId="0" fontId="20" fillId="0" borderId="13" xfId="0" applyNumberFormat="1" applyFont="1" applyFill="1" applyBorder="1" applyAlignment="1">
      <alignment horizontal="center" vertical="top"/>
    </xf>
    <xf numFmtId="0" fontId="20" fillId="0" borderId="24" xfId="0" applyNumberFormat="1" applyFont="1" applyFill="1" applyBorder="1" applyAlignment="1">
      <alignment horizontal="center" vertical="top"/>
    </xf>
    <xf numFmtId="0" fontId="25" fillId="0" borderId="0" xfId="0" applyNumberFormat="1" applyFont="1" applyFill="1" applyAlignment="1">
      <alignment horizontal="lef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3" xfId="60"/>
    <cellStyle name="Normal 3 2" xfId="61"/>
    <cellStyle name="Normal 3 3" xfId="62"/>
    <cellStyle name="Normal 3 4" xfId="63"/>
    <cellStyle name="Normal 4" xfId="64"/>
    <cellStyle name="Normal 4 2" xfId="65"/>
    <cellStyle name="Normal 4 3" xfId="66"/>
    <cellStyle name="Normal 4 4" xfId="67"/>
    <cellStyle name="Normal 5" xfId="68"/>
    <cellStyle name="Normal 5 2" xfId="69"/>
    <cellStyle name="Normal 5 3" xfId="70"/>
    <cellStyle name="Normal 5 4" xfId="71"/>
    <cellStyle name="Normal 6" xfId="72"/>
    <cellStyle name="Normal 6 2" xfId="73"/>
    <cellStyle name="Normal 6 3" xfId="74"/>
    <cellStyle name="Normal 6 4" xfId="75"/>
    <cellStyle name="Normal 7" xfId="76"/>
    <cellStyle name="Normal 7 2" xfId="77"/>
    <cellStyle name="Normal 7 3" xfId="78"/>
    <cellStyle name="Normal 7 4" xfId="79"/>
    <cellStyle name="Normal 7 5" xfId="80"/>
    <cellStyle name="Normal 7 6" xfId="81"/>
    <cellStyle name="Normal 8" xfId="82"/>
    <cellStyle name="Note" xfId="83"/>
    <cellStyle name="Output" xfId="84"/>
    <cellStyle name="Percent"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3D69B"/>
      <rgbColor rgb="00EDBF7B"/>
      <rgbColor rgb="00FFFF00"/>
      <rgbColor rgb="00DAAB78"/>
      <rgbColor rgb="00FF0000"/>
      <rgbColor rgb="004F81BD"/>
      <rgbColor rgb="00000000"/>
      <rgbColor rgb="00BFBFBF"/>
      <rgbColor rgb="00002060"/>
      <rgbColor rgb="00D9D9D9"/>
      <rgbColor rgb="00EFCC99"/>
      <rgbColor rgb="00CCFFFF"/>
      <rgbColor rgb="0093CDDD"/>
      <rgbColor rgb="00FFFFF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RYALGUDA\MANDAL-MLG\UMA%20SHANK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T%20DOWNLOADS\prc\SGT-SA-GHM-%20PRC-FORMULA-NEW.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T%20DOWNLOADS\prc\PRC-FORMULA-FOR%20AL(97-2003)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BILLS\IMP\NEWWWWWWWWWWW\JULY-PAY%20BILLS\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T%20DOWNLOADS\prc\Documents%20and%20Settings\1\Desktop\IT%20PROPOSAL%2020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ds"/>
      <sheetName val="Instructions"/>
      <sheetName val="DATA"/>
      <sheetName val="TABLE"/>
      <sheetName val="STATEMENT"/>
      <sheetName val="Form 16 Page1"/>
      <sheetName val="Form 16 Page2"/>
    </sheetNames>
    <sheetDataSet>
      <sheetData sheetId="4">
        <row r="58">
          <cell r="M5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XXXXXXX"/>
      <sheetName val="XXXXXXXXXXXX0"/>
      <sheetName val="READY RECKNOR"/>
      <sheetName val="RR-SA"/>
      <sheetName val="DATA"/>
      <sheetName val="PROCEEDING"/>
      <sheetName val="appendix-I"/>
      <sheetName val="appendix-II"/>
      <sheetName val="statement"/>
      <sheetName val="pt.adj"/>
      <sheetName val="bank"/>
      <sheetName val="Conversion"/>
      <sheetName val="DROPDOWN"/>
      <sheetName val="T&amp;C"/>
    </sheetNames>
    <sheetDataSet>
      <sheetData sheetId="12">
        <row r="1">
          <cell r="B1">
            <v>39630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XXXXXXXXXXXX"/>
      <sheetName val="XXXXXXXXXXXX0"/>
      <sheetName val="ALL39%"/>
      <sheetName val="READY RECKNOR"/>
      <sheetName val="DATA"/>
      <sheetName val="PROCEEDING"/>
      <sheetName val="appendix-I"/>
      <sheetName val="appendix-II"/>
      <sheetName val="statement"/>
      <sheetName val="pt.adj"/>
      <sheetName val="bank"/>
      <sheetName val="Conversion"/>
      <sheetName val="DROPDOWN"/>
      <sheetName val="T&amp;C"/>
    </sheetNames>
    <sheetDataSet>
      <sheetData sheetId="12">
        <row r="1">
          <cell r="B1">
            <v>39753</v>
          </cell>
          <cell r="D1">
            <v>40118</v>
          </cell>
          <cell r="G1">
            <v>40483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dules"/>
      <sheetName val="DATA"/>
      <sheetName val="APTC-47-N"/>
      <sheetName val="zppf"/>
      <sheetName val="budjet"/>
      <sheetName val="form47-p1"/>
      <sheetName val="Conversion"/>
      <sheetName val="aptc.47"/>
      <sheetName val="PAPER TOKEN"/>
      <sheetName val="STATEMENT-1"/>
      <sheetName val="STATEMENT-2"/>
      <sheetName val="PROCEEDING"/>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rop Down"/>
      <sheetName val="T&amp;C"/>
      <sheetName val="DATA"/>
      <sheetName val="Table"/>
      <sheetName val="Statement Page1"/>
      <sheetName val="Statement page2"/>
      <sheetName val="Form 16 Page1"/>
      <sheetName val="Form 16 Page2"/>
      <sheetName val="Annexure"/>
      <sheetName val="ITR 1"/>
      <sheetName val="Basic Pays"/>
    </sheetNames>
    <sheetDataSet>
      <sheetData sheetId="2">
        <row r="20">
          <cell r="D20">
            <v>14175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DD39"/>
  <sheetViews>
    <sheetView zoomScalePageLayoutView="0" workbookViewId="0" topLeftCell="A15">
      <selection activeCell="R22" sqref="R22"/>
    </sheetView>
  </sheetViews>
  <sheetFormatPr defaultColWidth="6.421875" defaultRowHeight="12.75" customHeight="1"/>
  <cols>
    <col min="1" max="1" width="15.8515625" style="0" customWidth="1"/>
    <col min="2" max="2" width="89.421875" style="0" customWidth="1"/>
    <col min="3" max="17" width="6.421875" style="0" hidden="1" customWidth="1"/>
    <col min="18" max="18" width="18.7109375" style="0" customWidth="1"/>
    <col min="19" max="19" width="10.7109375" style="0" customWidth="1"/>
    <col min="20" max="108" width="5.7109375" style="0" customWidth="1"/>
  </cols>
  <sheetData>
    <row r="1" ht="12.75" customHeight="1" hidden="1"/>
    <row r="2" spans="7:108" ht="12.75" customHeight="1" hidden="1">
      <c r="G2" s="330">
        <v>1</v>
      </c>
      <c r="H2" s="330">
        <v>2</v>
      </c>
      <c r="I2" s="330">
        <v>3</v>
      </c>
      <c r="J2" s="330">
        <v>4</v>
      </c>
      <c r="K2" s="330">
        <v>5</v>
      </c>
      <c r="L2" s="330">
        <v>6</v>
      </c>
      <c r="M2" s="330">
        <v>7</v>
      </c>
      <c r="Q2" s="330">
        <v>8</v>
      </c>
      <c r="R2" s="330">
        <v>9</v>
      </c>
      <c r="S2" s="330">
        <v>10</v>
      </c>
      <c r="T2" s="330">
        <v>11</v>
      </c>
      <c r="U2" s="330">
        <v>12</v>
      </c>
      <c r="V2" s="330">
        <v>13</v>
      </c>
      <c r="W2" s="330">
        <v>14</v>
      </c>
      <c r="X2" s="330">
        <v>15</v>
      </c>
      <c r="Y2" s="330">
        <v>16</v>
      </c>
      <c r="Z2" s="330">
        <v>17</v>
      </c>
      <c r="AA2" s="330">
        <v>18</v>
      </c>
      <c r="AB2" s="330">
        <v>19</v>
      </c>
      <c r="AC2" s="330">
        <v>20</v>
      </c>
      <c r="AD2" s="330">
        <v>21</v>
      </c>
      <c r="AE2" s="330">
        <v>22</v>
      </c>
      <c r="AF2" s="330">
        <v>23</v>
      </c>
      <c r="AG2" s="330">
        <v>24</v>
      </c>
      <c r="AH2" s="330">
        <v>25</v>
      </c>
      <c r="AI2" s="330">
        <v>26</v>
      </c>
      <c r="AJ2" s="330">
        <v>27</v>
      </c>
      <c r="AK2" s="330">
        <v>28</v>
      </c>
      <c r="AL2" s="330">
        <v>29</v>
      </c>
      <c r="AM2" s="330">
        <v>30</v>
      </c>
      <c r="AN2" s="330">
        <v>31</v>
      </c>
      <c r="AO2" s="330">
        <v>32</v>
      </c>
      <c r="AP2" s="330">
        <v>33</v>
      </c>
      <c r="AQ2" s="330">
        <v>34</v>
      </c>
      <c r="AR2" s="330">
        <v>35</v>
      </c>
      <c r="AS2" s="330">
        <v>36</v>
      </c>
      <c r="AT2" s="330">
        <v>37</v>
      </c>
      <c r="AU2" s="330">
        <v>38</v>
      </c>
      <c r="AV2" s="330">
        <v>39</v>
      </c>
      <c r="AW2" s="330">
        <v>40</v>
      </c>
      <c r="AX2" s="330">
        <v>41</v>
      </c>
      <c r="AY2" s="330">
        <v>42</v>
      </c>
      <c r="AZ2" s="330">
        <v>43</v>
      </c>
      <c r="BA2" s="330">
        <v>44</v>
      </c>
      <c r="BB2" s="330">
        <v>45</v>
      </c>
      <c r="BC2" s="330">
        <v>46</v>
      </c>
      <c r="BD2" s="330">
        <v>47</v>
      </c>
      <c r="BE2" s="330">
        <v>48</v>
      </c>
      <c r="BF2" s="330">
        <v>49</v>
      </c>
      <c r="BG2" s="330">
        <v>50</v>
      </c>
      <c r="BH2" s="330">
        <v>51</v>
      </c>
      <c r="BI2" s="330">
        <v>52</v>
      </c>
      <c r="BJ2" s="330">
        <v>53</v>
      </c>
      <c r="BK2" s="330">
        <v>54</v>
      </c>
      <c r="BL2" s="330">
        <v>55</v>
      </c>
      <c r="BM2" s="330">
        <v>56</v>
      </c>
      <c r="BN2" s="330">
        <v>57</v>
      </c>
      <c r="BO2" s="330">
        <v>58</v>
      </c>
      <c r="BP2" s="330">
        <v>59</v>
      </c>
      <c r="BQ2" s="330">
        <v>60</v>
      </c>
      <c r="BR2" s="330">
        <v>61</v>
      </c>
      <c r="BS2" s="330">
        <v>62</v>
      </c>
      <c r="BT2" s="330">
        <v>63</v>
      </c>
      <c r="BU2" s="330">
        <v>64</v>
      </c>
      <c r="BV2" s="330">
        <v>65</v>
      </c>
      <c r="BW2" s="330">
        <v>66</v>
      </c>
      <c r="BX2" s="330">
        <v>67</v>
      </c>
      <c r="BY2" s="330">
        <v>68</v>
      </c>
      <c r="BZ2" s="330">
        <v>69</v>
      </c>
      <c r="CA2" s="330">
        <v>70</v>
      </c>
      <c r="CB2" s="330">
        <v>71</v>
      </c>
      <c r="CC2" s="330">
        <v>72</v>
      </c>
      <c r="CD2" s="330">
        <v>73</v>
      </c>
      <c r="CE2" s="330">
        <v>74</v>
      </c>
      <c r="CF2" s="330">
        <v>75</v>
      </c>
      <c r="CG2" s="330">
        <v>76</v>
      </c>
      <c r="CH2" s="330">
        <v>77</v>
      </c>
      <c r="CI2" s="330">
        <v>78</v>
      </c>
      <c r="CJ2" s="330">
        <v>79</v>
      </c>
      <c r="CK2" s="330">
        <v>80</v>
      </c>
      <c r="CL2" s="330">
        <v>81</v>
      </c>
      <c r="CM2" s="330">
        <v>82</v>
      </c>
      <c r="CN2" s="330">
        <v>83</v>
      </c>
      <c r="CO2" s="330">
        <v>84</v>
      </c>
      <c r="CP2" s="330">
        <v>85</v>
      </c>
      <c r="CQ2" s="330">
        <v>86</v>
      </c>
      <c r="CR2" s="330">
        <v>87</v>
      </c>
      <c r="CS2" s="330">
        <v>88</v>
      </c>
      <c r="CT2" s="330">
        <v>89</v>
      </c>
      <c r="CU2" s="330">
        <v>90</v>
      </c>
      <c r="CV2" s="330">
        <v>91</v>
      </c>
      <c r="CW2" s="330">
        <v>92</v>
      </c>
      <c r="CX2" s="330">
        <v>93</v>
      </c>
      <c r="CY2" s="330">
        <v>94</v>
      </c>
      <c r="CZ2" s="330">
        <v>95</v>
      </c>
      <c r="DA2" s="330">
        <v>96</v>
      </c>
      <c r="DB2" s="330">
        <v>97</v>
      </c>
      <c r="DC2" s="330">
        <v>98</v>
      </c>
      <c r="DD2" s="330">
        <v>99</v>
      </c>
    </row>
    <row r="3" spans="7:108" ht="12.75" customHeight="1" hidden="1">
      <c r="G3" s="330" t="s">
        <v>488</v>
      </c>
      <c r="H3" s="330" t="s">
        <v>5</v>
      </c>
      <c r="I3" s="330" t="s">
        <v>341</v>
      </c>
      <c r="J3" s="330" t="s">
        <v>61</v>
      </c>
      <c r="K3" s="330" t="s">
        <v>92</v>
      </c>
      <c r="L3" s="330" t="s">
        <v>307</v>
      </c>
      <c r="M3" s="330" t="s">
        <v>230</v>
      </c>
      <c r="N3" s="330"/>
      <c r="O3" s="330"/>
      <c r="P3" s="330"/>
      <c r="Q3" s="330" t="s">
        <v>196</v>
      </c>
      <c r="R3" s="330" t="s">
        <v>68</v>
      </c>
      <c r="S3" s="330" t="s">
        <v>165</v>
      </c>
      <c r="T3" s="330" t="s">
        <v>131</v>
      </c>
      <c r="U3" s="330" t="s">
        <v>189</v>
      </c>
      <c r="V3" s="330" t="s">
        <v>468</v>
      </c>
      <c r="W3" s="330" t="s">
        <v>383</v>
      </c>
      <c r="X3" s="330" t="s">
        <v>170</v>
      </c>
      <c r="Y3" s="330" t="s">
        <v>180</v>
      </c>
      <c r="Z3" s="330" t="s">
        <v>299</v>
      </c>
      <c r="AA3" s="330" t="s">
        <v>236</v>
      </c>
      <c r="AB3" s="330" t="s">
        <v>403</v>
      </c>
      <c r="AC3" s="330" t="s">
        <v>41</v>
      </c>
      <c r="AD3" s="330" t="s">
        <v>482</v>
      </c>
      <c r="AE3" s="330" t="s">
        <v>248</v>
      </c>
      <c r="AF3" s="330" t="s">
        <v>441</v>
      </c>
      <c r="AG3" s="330" t="s">
        <v>9</v>
      </c>
      <c r="AH3" s="330" t="s">
        <v>149</v>
      </c>
      <c r="AI3" s="330" t="s">
        <v>251</v>
      </c>
      <c r="AJ3" s="330" t="s">
        <v>567</v>
      </c>
      <c r="AK3" s="330" t="s">
        <v>220</v>
      </c>
      <c r="AL3" s="330" t="s">
        <v>231</v>
      </c>
      <c r="AM3" s="330" t="s">
        <v>276</v>
      </c>
      <c r="AN3" s="330" t="s">
        <v>260</v>
      </c>
      <c r="AO3" s="330" t="s">
        <v>404</v>
      </c>
      <c r="AP3" s="330" t="s">
        <v>13</v>
      </c>
      <c r="AQ3" s="330" t="s">
        <v>60</v>
      </c>
      <c r="AR3" s="330" t="s">
        <v>493</v>
      </c>
      <c r="AS3" s="330" t="s">
        <v>285</v>
      </c>
      <c r="AT3" s="330" t="s">
        <v>354</v>
      </c>
      <c r="AU3" s="330" t="s">
        <v>406</v>
      </c>
      <c r="AV3" s="330" t="s">
        <v>63</v>
      </c>
      <c r="AW3" s="330" t="s">
        <v>506</v>
      </c>
      <c r="AX3" s="330" t="s">
        <v>508</v>
      </c>
      <c r="AY3" s="330" t="s">
        <v>0</v>
      </c>
      <c r="AZ3" s="330" t="s">
        <v>175</v>
      </c>
      <c r="BA3" s="330" t="s">
        <v>188</v>
      </c>
      <c r="BB3" s="330" t="s">
        <v>86</v>
      </c>
      <c r="BC3" s="330" t="s">
        <v>284</v>
      </c>
      <c r="BD3" s="330" t="s">
        <v>550</v>
      </c>
      <c r="BE3" s="330" t="s">
        <v>362</v>
      </c>
      <c r="BF3" s="330" t="s">
        <v>348</v>
      </c>
      <c r="BG3" s="330" t="s">
        <v>280</v>
      </c>
      <c r="BH3" s="330" t="s">
        <v>400</v>
      </c>
      <c r="BI3" s="330" t="s">
        <v>250</v>
      </c>
      <c r="BJ3" s="330" t="s">
        <v>326</v>
      </c>
      <c r="BK3" s="330" t="s">
        <v>77</v>
      </c>
      <c r="BL3" s="330" t="s">
        <v>197</v>
      </c>
      <c r="BM3" s="330" t="s">
        <v>31</v>
      </c>
      <c r="BN3" s="330" t="s">
        <v>224</v>
      </c>
      <c r="BO3" s="330" t="s">
        <v>530</v>
      </c>
      <c r="BP3" s="330" t="s">
        <v>312</v>
      </c>
      <c r="BQ3" s="330" t="s">
        <v>174</v>
      </c>
      <c r="BR3" s="330" t="s">
        <v>392</v>
      </c>
      <c r="BS3" s="330" t="s">
        <v>470</v>
      </c>
      <c r="BT3" s="330" t="s">
        <v>490</v>
      </c>
      <c r="BU3" s="330" t="s">
        <v>263</v>
      </c>
      <c r="BV3" s="330" t="s">
        <v>325</v>
      </c>
      <c r="BW3" s="330" t="s">
        <v>310</v>
      </c>
      <c r="BX3" s="330" t="s">
        <v>442</v>
      </c>
      <c r="BY3" s="330" t="s">
        <v>182</v>
      </c>
      <c r="BZ3" s="330" t="s">
        <v>440</v>
      </c>
      <c r="CA3" s="330" t="s">
        <v>222</v>
      </c>
      <c r="CB3" s="330" t="s">
        <v>210</v>
      </c>
      <c r="CC3" s="330" t="s">
        <v>19</v>
      </c>
      <c r="CD3" s="330" t="s">
        <v>117</v>
      </c>
      <c r="CE3" s="330" t="s">
        <v>294</v>
      </c>
      <c r="CF3" s="330" t="s">
        <v>409</v>
      </c>
      <c r="CG3" s="330" t="s">
        <v>328</v>
      </c>
      <c r="CH3" s="330" t="s">
        <v>241</v>
      </c>
      <c r="CI3" s="330" t="s">
        <v>546</v>
      </c>
      <c r="CJ3" s="330" t="s">
        <v>44</v>
      </c>
      <c r="CK3" s="330" t="s">
        <v>479</v>
      </c>
      <c r="CL3" s="330" t="s">
        <v>253</v>
      </c>
      <c r="CM3" s="330" t="s">
        <v>146</v>
      </c>
      <c r="CN3" s="330" t="s">
        <v>437</v>
      </c>
      <c r="CO3" s="330" t="s">
        <v>214</v>
      </c>
      <c r="CP3" s="330" t="s">
        <v>171</v>
      </c>
      <c r="CQ3" s="330" t="s">
        <v>319</v>
      </c>
      <c r="CR3" s="330" t="s">
        <v>379</v>
      </c>
      <c r="CS3" s="330" t="s">
        <v>438</v>
      </c>
      <c r="CT3" s="330" t="s">
        <v>115</v>
      </c>
      <c r="CU3" s="330" t="s">
        <v>213</v>
      </c>
      <c r="CV3" s="330" t="s">
        <v>258</v>
      </c>
      <c r="CW3" s="330" t="s">
        <v>49</v>
      </c>
      <c r="CX3" s="330" t="s">
        <v>303</v>
      </c>
      <c r="CY3" s="330" t="s">
        <v>487</v>
      </c>
      <c r="CZ3" s="330" t="s">
        <v>46</v>
      </c>
      <c r="DA3" s="330" t="s">
        <v>154</v>
      </c>
      <c r="DB3" s="330" t="s">
        <v>33</v>
      </c>
      <c r="DC3" s="330" t="s">
        <v>145</v>
      </c>
      <c r="DD3" s="330" t="s">
        <v>252</v>
      </c>
    </row>
    <row r="4" ht="12.75" customHeight="1" hidden="1"/>
    <row r="5" ht="12.75" customHeight="1" hidden="1"/>
    <row r="6" spans="18:19" ht="18.75" customHeight="1" hidden="1">
      <c r="R6" s="343" t="s">
        <v>582</v>
      </c>
      <c r="S6" s="343"/>
    </row>
    <row r="7" spans="1:19" ht="12.75" customHeight="1" hidden="1">
      <c r="A7" s="331" t="s">
        <v>583</v>
      </c>
      <c r="Q7" s="332"/>
      <c r="R7" s="344" t="s">
        <v>584</v>
      </c>
      <c r="S7" s="345"/>
    </row>
    <row r="8" spans="1:20" ht="17.25" customHeight="1" hidden="1">
      <c r="A8" s="331" t="s">
        <v>585</v>
      </c>
      <c r="Q8" s="332"/>
      <c r="R8" s="346" t="s">
        <v>586</v>
      </c>
      <c r="S8" s="347"/>
      <c r="T8" s="333"/>
    </row>
    <row r="9" spans="1:20" ht="17.25" customHeight="1" hidden="1">
      <c r="A9" s="331" t="s">
        <v>587</v>
      </c>
      <c r="Q9" s="332"/>
      <c r="R9" s="344" t="s">
        <v>588</v>
      </c>
      <c r="S9" s="348"/>
      <c r="T9" s="333"/>
    </row>
    <row r="10" ht="29.25" customHeight="1" hidden="1">
      <c r="A10" s="331" t="s">
        <v>589</v>
      </c>
    </row>
    <row r="11" spans="3:10" ht="12.75" customHeight="1" hidden="1">
      <c r="C11" s="330"/>
      <c r="D11" s="330"/>
      <c r="E11" s="330"/>
      <c r="F11" s="330"/>
      <c r="G11" s="330"/>
      <c r="H11" s="330"/>
      <c r="I11" s="330"/>
      <c r="J11" s="330"/>
    </row>
    <row r="12" spans="3:12" ht="12.75" customHeight="1" hidden="1">
      <c r="C12" s="330"/>
      <c r="D12" s="330"/>
      <c r="E12" s="330"/>
      <c r="F12" s="330"/>
      <c r="L12" s="330"/>
    </row>
    <row r="13" spans="3:12" ht="12.75" customHeight="1" hidden="1">
      <c r="C13" s="330"/>
      <c r="D13" s="330"/>
      <c r="E13" s="330"/>
      <c r="F13" s="330"/>
      <c r="J13" s="330"/>
      <c r="K13" s="330"/>
      <c r="L13" s="330"/>
    </row>
    <row r="14" spans="1:12" ht="12.75" customHeight="1" hidden="1">
      <c r="A14" s="334"/>
      <c r="B14" s="334"/>
      <c r="C14" s="330"/>
      <c r="D14" s="330"/>
      <c r="E14" s="330"/>
      <c r="F14" s="330"/>
      <c r="G14" s="330"/>
      <c r="H14" s="330"/>
      <c r="I14" s="330"/>
      <c r="J14" s="330"/>
      <c r="K14" s="330"/>
      <c r="L14" s="330"/>
    </row>
    <row r="15" spans="1:17" ht="27.75" customHeight="1">
      <c r="A15" s="335" t="s">
        <v>590</v>
      </c>
      <c r="B15" s="335" t="s">
        <v>591</v>
      </c>
      <c r="C15" s="336"/>
      <c r="D15" s="330"/>
      <c r="E15" s="330"/>
      <c r="F15" s="330"/>
      <c r="G15" s="330"/>
      <c r="H15" s="330"/>
      <c r="I15" s="330"/>
      <c r="J15" s="330"/>
      <c r="K15" s="330"/>
      <c r="L15" s="330"/>
      <c r="M15" s="330"/>
      <c r="N15" s="330"/>
      <c r="O15" s="330"/>
      <c r="P15" s="330"/>
      <c r="Q15" s="330"/>
    </row>
    <row r="16" spans="1:17" ht="35.25" customHeight="1">
      <c r="A16" s="337">
        <f>'[1]STATEMENT'!M58</f>
        <v>0</v>
      </c>
      <c r="B16" s="338" t="str">
        <f aca="true" t="shared" si="0" ref="B16:B39">IF((A16=""),"",CONCATENATE("(",Q16," rupees only)"))</f>
        <v>(Zero rupees only)</v>
      </c>
      <c r="C16" s="336">
        <f aca="true" t="shared" si="1" ref="C16:C39">INT((A16/100000))</f>
        <v>0</v>
      </c>
      <c r="D16" s="330">
        <f aca="true" t="shared" si="2" ref="D16:D39">INT(((A16/1000)-(C16*100)))</f>
        <v>0</v>
      </c>
      <c r="E16" s="330">
        <f aca="true" t="shared" si="3" ref="E16:E39">INT((((A16/100)-(C16*1000))-(D16*10)))</f>
        <v>0</v>
      </c>
      <c r="F16" s="330">
        <f aca="true" t="shared" si="4" ref="F16:F39">INT((((A16-(C16*100000))-(D16*1000))-(E16*100)))</f>
        <v>0</v>
      </c>
      <c r="G16" s="330">
        <f aca="true" t="shared" si="5" ref="G16:H39">IF((C16=0),"",LOOKUP(C16,$G$2:$DD$2,$G$3:$DD$3))</f>
      </c>
      <c r="H16" s="330">
        <f t="shared" si="5"/>
      </c>
      <c r="I16" s="330">
        <f aca="true" t="shared" si="6" ref="I16:I39">IF((E16=0),"",LOOKUP(E16,$G$2:$R$2,$G$3:$R$3))</f>
      </c>
      <c r="J16" s="330">
        <f aca="true" t="shared" si="7" ref="J16:J39">IF((F16=0),"",LOOKUP(F16,$G$2:$DD$2,$G$3:$DD$3))</f>
      </c>
      <c r="K16" s="330">
        <f aca="true" t="shared" si="8" ref="K16:K39">IF(AND((E16=0),(F16=0)),1,2)</f>
        <v>1</v>
      </c>
      <c r="L16" s="330">
        <f aca="true" t="shared" si="9" ref="L16:L39">IF((F16=0),3,4)</f>
        <v>3</v>
      </c>
      <c r="M16" s="330">
        <f aca="true" t="shared" si="10" ref="M16:M39">IF(OR((K16=1),(L16=3)),5,6)</f>
        <v>5</v>
      </c>
      <c r="N16" s="330">
        <f aca="true" t="shared" si="11" ref="N16:N39">IF((C16&gt;1)," Lakhs ",IF((C16&gt;0)," Lakh ",""))</f>
      </c>
      <c r="O16" s="330">
        <f aca="true" t="shared" si="12" ref="O16:O39">IF((D16&gt;0)," Thousand ","")</f>
      </c>
      <c r="P16" s="330">
        <f aca="true" t="shared" si="13" ref="P16:P39">IF((E16&gt;0)," Hundred ","")</f>
      </c>
      <c r="Q16" s="339" t="str">
        <f aca="true" t="shared" si="14" ref="Q16:Q39">IF((A16=0),"Zero",IF((A16&gt;0),TRIM(CONCATENATE(G16,N16,H16,O16,I16,P16,IF(AND((A16&gt;100),(M16=6))," and ",""),J16)),""))</f>
        <v>Zero</v>
      </c>
    </row>
    <row r="17" spans="1:17" ht="35.25" customHeight="1">
      <c r="A17" s="337">
        <f>A16+1</f>
        <v>1</v>
      </c>
      <c r="B17" s="338" t="str">
        <f t="shared" si="0"/>
        <v>(One rupees only)</v>
      </c>
      <c r="C17" s="336">
        <f t="shared" si="1"/>
        <v>0</v>
      </c>
      <c r="D17" s="330">
        <f t="shared" si="2"/>
        <v>0</v>
      </c>
      <c r="E17" s="330">
        <f t="shared" si="3"/>
        <v>0</v>
      </c>
      <c r="F17" s="330">
        <f t="shared" si="4"/>
        <v>1</v>
      </c>
      <c r="G17" s="330">
        <f t="shared" si="5"/>
      </c>
      <c r="H17" s="330">
        <f t="shared" si="5"/>
      </c>
      <c r="I17" s="330">
        <f t="shared" si="6"/>
      </c>
      <c r="J17" s="330" t="str">
        <f t="shared" si="7"/>
        <v>One</v>
      </c>
      <c r="K17" s="330">
        <f t="shared" si="8"/>
        <v>2</v>
      </c>
      <c r="L17" s="330">
        <f t="shared" si="9"/>
        <v>4</v>
      </c>
      <c r="M17" s="330">
        <f t="shared" si="10"/>
        <v>6</v>
      </c>
      <c r="N17" s="330">
        <f t="shared" si="11"/>
      </c>
      <c r="O17" s="330">
        <f t="shared" si="12"/>
      </c>
      <c r="P17" s="330">
        <f t="shared" si="13"/>
      </c>
      <c r="Q17" s="339" t="str">
        <f t="shared" si="14"/>
        <v>One</v>
      </c>
    </row>
    <row r="18" spans="1:17" ht="35.25" customHeight="1">
      <c r="A18" s="340">
        <v>8965</v>
      </c>
      <c r="B18" s="338" t="str">
        <f t="shared" si="0"/>
        <v>(Eight Thousand Nine Hundred and Sixty five rupees only)</v>
      </c>
      <c r="C18" s="336">
        <f t="shared" si="1"/>
        <v>0</v>
      </c>
      <c r="D18" s="330">
        <f t="shared" si="2"/>
        <v>8</v>
      </c>
      <c r="E18" s="330">
        <f t="shared" si="3"/>
        <v>9</v>
      </c>
      <c r="F18" s="330">
        <f t="shared" si="4"/>
        <v>65</v>
      </c>
      <c r="G18" s="330">
        <f t="shared" si="5"/>
      </c>
      <c r="H18" s="330" t="str">
        <f t="shared" si="5"/>
        <v>Eight</v>
      </c>
      <c r="I18" s="330" t="str">
        <f t="shared" si="6"/>
        <v>Nine</v>
      </c>
      <c r="J18" s="330" t="str">
        <f t="shared" si="7"/>
        <v>Sixty five</v>
      </c>
      <c r="K18" s="330">
        <f t="shared" si="8"/>
        <v>2</v>
      </c>
      <c r="L18" s="330">
        <f t="shared" si="9"/>
        <v>4</v>
      </c>
      <c r="M18" s="330">
        <f t="shared" si="10"/>
        <v>6</v>
      </c>
      <c r="N18" s="330">
        <f t="shared" si="11"/>
      </c>
      <c r="O18" s="330" t="str">
        <f t="shared" si="12"/>
        <v> Thousand </v>
      </c>
      <c r="P18" s="330" t="str">
        <f t="shared" si="13"/>
        <v> Hundred </v>
      </c>
      <c r="Q18" s="339" t="str">
        <f t="shared" si="14"/>
        <v>Eight Thousand Nine Hundred and Sixty five</v>
      </c>
    </row>
    <row r="19" spans="1:17" ht="35.25" customHeight="1">
      <c r="A19" s="340">
        <v>100</v>
      </c>
      <c r="B19" s="338" t="str">
        <f t="shared" si="0"/>
        <v>(One Hundred rupees only)</v>
      </c>
      <c r="C19" s="336">
        <f t="shared" si="1"/>
        <v>0</v>
      </c>
      <c r="D19" s="330">
        <f t="shared" si="2"/>
        <v>0</v>
      </c>
      <c r="E19" s="330">
        <f t="shared" si="3"/>
        <v>1</v>
      </c>
      <c r="F19" s="330">
        <f t="shared" si="4"/>
        <v>0</v>
      </c>
      <c r="G19" s="330">
        <f t="shared" si="5"/>
      </c>
      <c r="H19" s="330">
        <f t="shared" si="5"/>
      </c>
      <c r="I19" s="330" t="str">
        <f t="shared" si="6"/>
        <v>One</v>
      </c>
      <c r="J19" s="330">
        <f t="shared" si="7"/>
      </c>
      <c r="K19" s="330">
        <f t="shared" si="8"/>
        <v>2</v>
      </c>
      <c r="L19" s="330">
        <f t="shared" si="9"/>
        <v>3</v>
      </c>
      <c r="M19" s="330">
        <f t="shared" si="10"/>
        <v>5</v>
      </c>
      <c r="N19" s="330">
        <f t="shared" si="11"/>
      </c>
      <c r="O19" s="330">
        <f t="shared" si="12"/>
      </c>
      <c r="P19" s="330" t="str">
        <f t="shared" si="13"/>
        <v> Hundred </v>
      </c>
      <c r="Q19" s="339" t="str">
        <f t="shared" si="14"/>
        <v>One Hundred</v>
      </c>
    </row>
    <row r="20" spans="1:17" ht="35.25" customHeight="1">
      <c r="A20" s="340">
        <v>10</v>
      </c>
      <c r="B20" s="338" t="str">
        <f t="shared" si="0"/>
        <v>(Ten rupees only)</v>
      </c>
      <c r="C20" s="336">
        <f t="shared" si="1"/>
        <v>0</v>
      </c>
      <c r="D20" s="330">
        <f t="shared" si="2"/>
        <v>0</v>
      </c>
      <c r="E20" s="330">
        <f t="shared" si="3"/>
        <v>0</v>
      </c>
      <c r="F20" s="330">
        <f t="shared" si="4"/>
        <v>10</v>
      </c>
      <c r="G20" s="330">
        <f t="shared" si="5"/>
      </c>
      <c r="H20" s="330">
        <f t="shared" si="5"/>
      </c>
      <c r="I20" s="330">
        <f t="shared" si="6"/>
      </c>
      <c r="J20" s="330" t="str">
        <f t="shared" si="7"/>
        <v>Ten</v>
      </c>
      <c r="K20" s="330">
        <f t="shared" si="8"/>
        <v>2</v>
      </c>
      <c r="L20" s="330">
        <f t="shared" si="9"/>
        <v>4</v>
      </c>
      <c r="M20" s="330">
        <f t="shared" si="10"/>
        <v>6</v>
      </c>
      <c r="N20" s="330">
        <f t="shared" si="11"/>
      </c>
      <c r="O20" s="330">
        <f t="shared" si="12"/>
      </c>
      <c r="P20" s="330">
        <f t="shared" si="13"/>
      </c>
      <c r="Q20" s="339" t="str">
        <f t="shared" si="14"/>
        <v>Ten</v>
      </c>
    </row>
    <row r="21" spans="1:17" ht="35.25" customHeight="1">
      <c r="A21" s="340">
        <v>101</v>
      </c>
      <c r="B21" s="338" t="str">
        <f t="shared" si="0"/>
        <v>(One Hundred and One rupees only)</v>
      </c>
      <c r="C21" s="336">
        <f t="shared" si="1"/>
        <v>0</v>
      </c>
      <c r="D21" s="330">
        <f t="shared" si="2"/>
        <v>0</v>
      </c>
      <c r="E21" s="330">
        <f t="shared" si="3"/>
        <v>1</v>
      </c>
      <c r="F21" s="330">
        <f t="shared" si="4"/>
        <v>1</v>
      </c>
      <c r="G21" s="330">
        <f t="shared" si="5"/>
      </c>
      <c r="H21" s="330">
        <f t="shared" si="5"/>
      </c>
      <c r="I21" s="330" t="str">
        <f t="shared" si="6"/>
        <v>One</v>
      </c>
      <c r="J21" s="330" t="str">
        <f t="shared" si="7"/>
        <v>One</v>
      </c>
      <c r="K21" s="330">
        <f t="shared" si="8"/>
        <v>2</v>
      </c>
      <c r="L21" s="330">
        <f t="shared" si="9"/>
        <v>4</v>
      </c>
      <c r="M21" s="330">
        <f t="shared" si="10"/>
        <v>6</v>
      </c>
      <c r="N21" s="330">
        <f t="shared" si="11"/>
      </c>
      <c r="O21" s="330">
        <f t="shared" si="12"/>
      </c>
      <c r="P21" s="330" t="str">
        <f t="shared" si="13"/>
        <v> Hundred </v>
      </c>
      <c r="Q21" s="339" t="str">
        <f t="shared" si="14"/>
        <v>One Hundred and One</v>
      </c>
    </row>
    <row r="22" spans="1:17" ht="35.25" customHeight="1">
      <c r="A22" s="340"/>
      <c r="B22" s="338">
        <f t="shared" si="0"/>
      </c>
      <c r="C22" s="336">
        <f t="shared" si="1"/>
        <v>0</v>
      </c>
      <c r="D22" s="330">
        <f t="shared" si="2"/>
        <v>0</v>
      </c>
      <c r="E22" s="330">
        <f t="shared" si="3"/>
        <v>0</v>
      </c>
      <c r="F22" s="330">
        <f t="shared" si="4"/>
        <v>0</v>
      </c>
      <c r="G22" s="330">
        <f t="shared" si="5"/>
      </c>
      <c r="H22" s="330">
        <f t="shared" si="5"/>
      </c>
      <c r="I22" s="330">
        <f t="shared" si="6"/>
      </c>
      <c r="J22" s="330">
        <f t="shared" si="7"/>
      </c>
      <c r="K22" s="330">
        <f t="shared" si="8"/>
        <v>1</v>
      </c>
      <c r="L22" s="330">
        <f t="shared" si="9"/>
        <v>3</v>
      </c>
      <c r="M22" s="330">
        <f t="shared" si="10"/>
        <v>5</v>
      </c>
      <c r="N22" s="330">
        <f t="shared" si="11"/>
      </c>
      <c r="O22" s="330">
        <f t="shared" si="12"/>
      </c>
      <c r="P22" s="330">
        <f t="shared" si="13"/>
      </c>
      <c r="Q22" s="339" t="str">
        <f t="shared" si="14"/>
        <v>Zero</v>
      </c>
    </row>
    <row r="23" spans="1:17" ht="35.25" customHeight="1">
      <c r="A23" s="341"/>
      <c r="B23" s="342">
        <f t="shared" si="0"/>
      </c>
      <c r="C23" s="336">
        <f t="shared" si="1"/>
        <v>0</v>
      </c>
      <c r="D23" s="330">
        <f t="shared" si="2"/>
        <v>0</v>
      </c>
      <c r="E23" s="330">
        <f t="shared" si="3"/>
        <v>0</v>
      </c>
      <c r="F23" s="330">
        <f t="shared" si="4"/>
        <v>0</v>
      </c>
      <c r="G23" s="330">
        <f t="shared" si="5"/>
      </c>
      <c r="H23" s="330">
        <f t="shared" si="5"/>
      </c>
      <c r="I23" s="330">
        <f t="shared" si="6"/>
      </c>
      <c r="J23" s="330">
        <f t="shared" si="7"/>
      </c>
      <c r="K23" s="330">
        <f t="shared" si="8"/>
        <v>1</v>
      </c>
      <c r="L23" s="330">
        <f t="shared" si="9"/>
        <v>3</v>
      </c>
      <c r="M23" s="330">
        <f t="shared" si="10"/>
        <v>5</v>
      </c>
      <c r="N23" s="330">
        <f t="shared" si="11"/>
      </c>
      <c r="O23" s="330">
        <f t="shared" si="12"/>
      </c>
      <c r="P23" s="330">
        <f t="shared" si="13"/>
      </c>
      <c r="Q23" s="339" t="str">
        <f t="shared" si="14"/>
        <v>Zero</v>
      </c>
    </row>
    <row r="24" spans="1:17" ht="35.25" customHeight="1">
      <c r="A24" s="341"/>
      <c r="B24" s="342">
        <f t="shared" si="0"/>
      </c>
      <c r="C24" s="336">
        <f t="shared" si="1"/>
        <v>0</v>
      </c>
      <c r="D24" s="330">
        <f t="shared" si="2"/>
        <v>0</v>
      </c>
      <c r="E24" s="330">
        <f t="shared" si="3"/>
        <v>0</v>
      </c>
      <c r="F24" s="330">
        <f t="shared" si="4"/>
        <v>0</v>
      </c>
      <c r="G24" s="330">
        <f t="shared" si="5"/>
      </c>
      <c r="H24" s="330">
        <f t="shared" si="5"/>
      </c>
      <c r="I24" s="330">
        <f t="shared" si="6"/>
      </c>
      <c r="J24" s="330">
        <f t="shared" si="7"/>
      </c>
      <c r="K24" s="330">
        <f t="shared" si="8"/>
        <v>1</v>
      </c>
      <c r="L24" s="330">
        <f t="shared" si="9"/>
        <v>3</v>
      </c>
      <c r="M24" s="330">
        <f t="shared" si="10"/>
        <v>5</v>
      </c>
      <c r="N24" s="330">
        <f t="shared" si="11"/>
      </c>
      <c r="O24" s="330">
        <f t="shared" si="12"/>
      </c>
      <c r="P24" s="330">
        <f t="shared" si="13"/>
      </c>
      <c r="Q24" s="339" t="str">
        <f t="shared" si="14"/>
        <v>Zero</v>
      </c>
    </row>
    <row r="25" spans="1:17" ht="35.25" customHeight="1">
      <c r="A25" s="341"/>
      <c r="B25" s="342">
        <f t="shared" si="0"/>
      </c>
      <c r="C25" s="336">
        <f t="shared" si="1"/>
        <v>0</v>
      </c>
      <c r="D25" s="330">
        <f t="shared" si="2"/>
        <v>0</v>
      </c>
      <c r="E25" s="330">
        <f t="shared" si="3"/>
        <v>0</v>
      </c>
      <c r="F25" s="330">
        <f t="shared" si="4"/>
        <v>0</v>
      </c>
      <c r="G25" s="330">
        <f t="shared" si="5"/>
      </c>
      <c r="H25" s="330">
        <f t="shared" si="5"/>
      </c>
      <c r="I25" s="330">
        <f t="shared" si="6"/>
      </c>
      <c r="J25" s="330">
        <f t="shared" si="7"/>
      </c>
      <c r="K25" s="330">
        <f t="shared" si="8"/>
        <v>1</v>
      </c>
      <c r="L25" s="330">
        <f t="shared" si="9"/>
        <v>3</v>
      </c>
      <c r="M25" s="330">
        <f t="shared" si="10"/>
        <v>5</v>
      </c>
      <c r="N25" s="330">
        <f t="shared" si="11"/>
      </c>
      <c r="O25" s="330">
        <f t="shared" si="12"/>
      </c>
      <c r="P25" s="330">
        <f t="shared" si="13"/>
      </c>
      <c r="Q25" s="339" t="str">
        <f t="shared" si="14"/>
        <v>Zero</v>
      </c>
    </row>
    <row r="26" spans="1:17" ht="35.25" customHeight="1">
      <c r="A26" s="341"/>
      <c r="B26" s="342">
        <f t="shared" si="0"/>
      </c>
      <c r="C26" s="336">
        <f t="shared" si="1"/>
        <v>0</v>
      </c>
      <c r="D26" s="330">
        <f t="shared" si="2"/>
        <v>0</v>
      </c>
      <c r="E26" s="330">
        <f t="shared" si="3"/>
        <v>0</v>
      </c>
      <c r="F26" s="330">
        <f t="shared" si="4"/>
        <v>0</v>
      </c>
      <c r="G26" s="330">
        <f t="shared" si="5"/>
      </c>
      <c r="H26" s="330">
        <f t="shared" si="5"/>
      </c>
      <c r="I26" s="330">
        <f t="shared" si="6"/>
      </c>
      <c r="J26" s="330">
        <f t="shared" si="7"/>
      </c>
      <c r="K26" s="330">
        <f t="shared" si="8"/>
        <v>1</v>
      </c>
      <c r="L26" s="330">
        <f t="shared" si="9"/>
        <v>3</v>
      </c>
      <c r="M26" s="330">
        <f t="shared" si="10"/>
        <v>5</v>
      </c>
      <c r="N26" s="330">
        <f t="shared" si="11"/>
      </c>
      <c r="O26" s="330">
        <f t="shared" si="12"/>
      </c>
      <c r="P26" s="330">
        <f t="shared" si="13"/>
      </c>
      <c r="Q26" s="339" t="str">
        <f t="shared" si="14"/>
        <v>Zero</v>
      </c>
    </row>
    <row r="27" spans="1:17" ht="35.25" customHeight="1">
      <c r="A27" s="341"/>
      <c r="B27" s="342">
        <f t="shared" si="0"/>
      </c>
      <c r="C27" s="336">
        <f t="shared" si="1"/>
        <v>0</v>
      </c>
      <c r="D27" s="330">
        <f t="shared" si="2"/>
        <v>0</v>
      </c>
      <c r="E27" s="330">
        <f t="shared" si="3"/>
        <v>0</v>
      </c>
      <c r="F27" s="330">
        <f t="shared" si="4"/>
        <v>0</v>
      </c>
      <c r="G27" s="330">
        <f t="shared" si="5"/>
      </c>
      <c r="H27" s="330">
        <f t="shared" si="5"/>
      </c>
      <c r="I27" s="330">
        <f t="shared" si="6"/>
      </c>
      <c r="J27" s="330">
        <f t="shared" si="7"/>
      </c>
      <c r="K27" s="330">
        <f t="shared" si="8"/>
        <v>1</v>
      </c>
      <c r="L27" s="330">
        <f t="shared" si="9"/>
        <v>3</v>
      </c>
      <c r="M27" s="330">
        <f t="shared" si="10"/>
        <v>5</v>
      </c>
      <c r="N27" s="330">
        <f t="shared" si="11"/>
      </c>
      <c r="O27" s="330">
        <f t="shared" si="12"/>
      </c>
      <c r="P27" s="330">
        <f t="shared" si="13"/>
      </c>
      <c r="Q27" s="339" t="str">
        <f t="shared" si="14"/>
        <v>Zero</v>
      </c>
    </row>
    <row r="28" spans="1:17" ht="35.25" customHeight="1">
      <c r="A28" s="341"/>
      <c r="B28" s="342">
        <f t="shared" si="0"/>
      </c>
      <c r="C28" s="336">
        <f t="shared" si="1"/>
        <v>0</v>
      </c>
      <c r="D28" s="330">
        <f t="shared" si="2"/>
        <v>0</v>
      </c>
      <c r="E28" s="330">
        <f t="shared" si="3"/>
        <v>0</v>
      </c>
      <c r="F28" s="330">
        <f t="shared" si="4"/>
        <v>0</v>
      </c>
      <c r="G28" s="330">
        <f t="shared" si="5"/>
      </c>
      <c r="H28" s="330">
        <f t="shared" si="5"/>
      </c>
      <c r="I28" s="330">
        <f t="shared" si="6"/>
      </c>
      <c r="J28" s="330">
        <f t="shared" si="7"/>
      </c>
      <c r="K28" s="330">
        <f t="shared" si="8"/>
        <v>1</v>
      </c>
      <c r="L28" s="330">
        <f t="shared" si="9"/>
        <v>3</v>
      </c>
      <c r="M28" s="330">
        <f t="shared" si="10"/>
        <v>5</v>
      </c>
      <c r="N28" s="330">
        <f t="shared" si="11"/>
      </c>
      <c r="O28" s="330">
        <f t="shared" si="12"/>
      </c>
      <c r="P28" s="330">
        <f t="shared" si="13"/>
      </c>
      <c r="Q28" s="339" t="str">
        <f t="shared" si="14"/>
        <v>Zero</v>
      </c>
    </row>
    <row r="29" spans="1:17" ht="35.25" customHeight="1">
      <c r="A29" s="341"/>
      <c r="B29" s="342">
        <f t="shared" si="0"/>
      </c>
      <c r="C29" s="336">
        <f t="shared" si="1"/>
        <v>0</v>
      </c>
      <c r="D29" s="330">
        <f t="shared" si="2"/>
        <v>0</v>
      </c>
      <c r="E29" s="330">
        <f t="shared" si="3"/>
        <v>0</v>
      </c>
      <c r="F29" s="330">
        <f t="shared" si="4"/>
        <v>0</v>
      </c>
      <c r="G29" s="330">
        <f t="shared" si="5"/>
      </c>
      <c r="H29" s="330">
        <f t="shared" si="5"/>
      </c>
      <c r="I29" s="330">
        <f t="shared" si="6"/>
      </c>
      <c r="J29" s="330">
        <f t="shared" si="7"/>
      </c>
      <c r="K29" s="330">
        <f t="shared" si="8"/>
        <v>1</v>
      </c>
      <c r="L29" s="330">
        <f t="shared" si="9"/>
        <v>3</v>
      </c>
      <c r="M29" s="330">
        <f t="shared" si="10"/>
        <v>5</v>
      </c>
      <c r="N29" s="330">
        <f t="shared" si="11"/>
      </c>
      <c r="O29" s="330">
        <f t="shared" si="12"/>
      </c>
      <c r="P29" s="330">
        <f t="shared" si="13"/>
      </c>
      <c r="Q29" s="339" t="str">
        <f t="shared" si="14"/>
        <v>Zero</v>
      </c>
    </row>
    <row r="30" spans="1:17" ht="35.25" customHeight="1">
      <c r="A30" s="341"/>
      <c r="B30" s="342">
        <f t="shared" si="0"/>
      </c>
      <c r="C30" s="336">
        <f t="shared" si="1"/>
        <v>0</v>
      </c>
      <c r="D30" s="330">
        <f t="shared" si="2"/>
        <v>0</v>
      </c>
      <c r="E30" s="330">
        <f t="shared" si="3"/>
        <v>0</v>
      </c>
      <c r="F30" s="330">
        <f t="shared" si="4"/>
        <v>0</v>
      </c>
      <c r="G30" s="330">
        <f t="shared" si="5"/>
      </c>
      <c r="H30" s="330">
        <f t="shared" si="5"/>
      </c>
      <c r="I30" s="330">
        <f t="shared" si="6"/>
      </c>
      <c r="J30" s="330">
        <f t="shared" si="7"/>
      </c>
      <c r="K30" s="330">
        <f t="shared" si="8"/>
        <v>1</v>
      </c>
      <c r="L30" s="330">
        <f t="shared" si="9"/>
        <v>3</v>
      </c>
      <c r="M30" s="330">
        <f t="shared" si="10"/>
        <v>5</v>
      </c>
      <c r="N30" s="330">
        <f t="shared" si="11"/>
      </c>
      <c r="O30" s="330">
        <f t="shared" si="12"/>
      </c>
      <c r="P30" s="330">
        <f t="shared" si="13"/>
      </c>
      <c r="Q30" s="339" t="str">
        <f t="shared" si="14"/>
        <v>Zero</v>
      </c>
    </row>
    <row r="31" spans="1:17" ht="35.25" customHeight="1">
      <c r="A31" s="341"/>
      <c r="B31" s="342">
        <f t="shared" si="0"/>
      </c>
      <c r="C31" s="336">
        <f t="shared" si="1"/>
        <v>0</v>
      </c>
      <c r="D31" s="330">
        <f t="shared" si="2"/>
        <v>0</v>
      </c>
      <c r="E31" s="330">
        <f t="shared" si="3"/>
        <v>0</v>
      </c>
      <c r="F31" s="330">
        <f t="shared" si="4"/>
        <v>0</v>
      </c>
      <c r="G31" s="330">
        <f t="shared" si="5"/>
      </c>
      <c r="H31" s="330">
        <f t="shared" si="5"/>
      </c>
      <c r="I31" s="330">
        <f t="shared" si="6"/>
      </c>
      <c r="J31" s="330">
        <f t="shared" si="7"/>
      </c>
      <c r="K31" s="330">
        <f t="shared" si="8"/>
        <v>1</v>
      </c>
      <c r="L31" s="330">
        <f t="shared" si="9"/>
        <v>3</v>
      </c>
      <c r="M31" s="330">
        <f t="shared" si="10"/>
        <v>5</v>
      </c>
      <c r="N31" s="330">
        <f t="shared" si="11"/>
      </c>
      <c r="O31" s="330">
        <f t="shared" si="12"/>
      </c>
      <c r="P31" s="330">
        <f t="shared" si="13"/>
      </c>
      <c r="Q31" s="339" t="str">
        <f t="shared" si="14"/>
        <v>Zero</v>
      </c>
    </row>
    <row r="32" spans="1:17" ht="35.25" customHeight="1">
      <c r="A32" s="341"/>
      <c r="B32" s="342">
        <f t="shared" si="0"/>
      </c>
      <c r="C32" s="336">
        <f t="shared" si="1"/>
        <v>0</v>
      </c>
      <c r="D32" s="330">
        <f t="shared" si="2"/>
        <v>0</v>
      </c>
      <c r="E32" s="330">
        <f t="shared" si="3"/>
        <v>0</v>
      </c>
      <c r="F32" s="330">
        <f t="shared" si="4"/>
        <v>0</v>
      </c>
      <c r="G32" s="330">
        <f t="shared" si="5"/>
      </c>
      <c r="H32" s="330">
        <f t="shared" si="5"/>
      </c>
      <c r="I32" s="330">
        <f t="shared" si="6"/>
      </c>
      <c r="J32" s="330">
        <f t="shared" si="7"/>
      </c>
      <c r="K32" s="330">
        <f t="shared" si="8"/>
        <v>1</v>
      </c>
      <c r="L32" s="330">
        <f t="shared" si="9"/>
        <v>3</v>
      </c>
      <c r="M32" s="330">
        <f t="shared" si="10"/>
        <v>5</v>
      </c>
      <c r="N32" s="330">
        <f t="shared" si="11"/>
      </c>
      <c r="O32" s="330">
        <f t="shared" si="12"/>
      </c>
      <c r="P32" s="330">
        <f t="shared" si="13"/>
      </c>
      <c r="Q32" s="339" t="str">
        <f t="shared" si="14"/>
        <v>Zero</v>
      </c>
    </row>
    <row r="33" spans="1:17" ht="35.25" customHeight="1">
      <c r="A33" s="341"/>
      <c r="B33" s="342">
        <f t="shared" si="0"/>
      </c>
      <c r="C33" s="336">
        <f t="shared" si="1"/>
        <v>0</v>
      </c>
      <c r="D33" s="330">
        <f t="shared" si="2"/>
        <v>0</v>
      </c>
      <c r="E33" s="330">
        <f t="shared" si="3"/>
        <v>0</v>
      </c>
      <c r="F33" s="330">
        <f t="shared" si="4"/>
        <v>0</v>
      </c>
      <c r="G33" s="330">
        <f t="shared" si="5"/>
      </c>
      <c r="H33" s="330">
        <f t="shared" si="5"/>
      </c>
      <c r="I33" s="330">
        <f t="shared" si="6"/>
      </c>
      <c r="J33" s="330">
        <f t="shared" si="7"/>
      </c>
      <c r="K33" s="330">
        <f t="shared" si="8"/>
        <v>1</v>
      </c>
      <c r="L33" s="330">
        <f t="shared" si="9"/>
        <v>3</v>
      </c>
      <c r="M33" s="330">
        <f t="shared" si="10"/>
        <v>5</v>
      </c>
      <c r="N33" s="330">
        <f t="shared" si="11"/>
      </c>
      <c r="O33" s="330">
        <f t="shared" si="12"/>
      </c>
      <c r="P33" s="330">
        <f t="shared" si="13"/>
      </c>
      <c r="Q33" s="339" t="str">
        <f t="shared" si="14"/>
        <v>Zero</v>
      </c>
    </row>
    <row r="34" spans="1:17" ht="35.25" customHeight="1">
      <c r="A34" s="341"/>
      <c r="B34" s="342">
        <f t="shared" si="0"/>
      </c>
      <c r="C34" s="336">
        <f t="shared" si="1"/>
        <v>0</v>
      </c>
      <c r="D34" s="330">
        <f t="shared" si="2"/>
        <v>0</v>
      </c>
      <c r="E34" s="330">
        <f t="shared" si="3"/>
        <v>0</v>
      </c>
      <c r="F34" s="330">
        <f t="shared" si="4"/>
        <v>0</v>
      </c>
      <c r="G34" s="330">
        <f t="shared" si="5"/>
      </c>
      <c r="H34" s="330">
        <f t="shared" si="5"/>
      </c>
      <c r="I34" s="330">
        <f t="shared" si="6"/>
      </c>
      <c r="J34" s="330">
        <f t="shared" si="7"/>
      </c>
      <c r="K34" s="330">
        <f t="shared" si="8"/>
        <v>1</v>
      </c>
      <c r="L34" s="330">
        <f t="shared" si="9"/>
        <v>3</v>
      </c>
      <c r="M34" s="330">
        <f t="shared" si="10"/>
        <v>5</v>
      </c>
      <c r="N34" s="330">
        <f t="shared" si="11"/>
      </c>
      <c r="O34" s="330">
        <f t="shared" si="12"/>
      </c>
      <c r="P34" s="330">
        <f t="shared" si="13"/>
      </c>
      <c r="Q34" s="339" t="str">
        <f t="shared" si="14"/>
        <v>Zero</v>
      </c>
    </row>
    <row r="35" spans="1:17" ht="35.25" customHeight="1">
      <c r="A35" s="341"/>
      <c r="B35" s="342">
        <f t="shared" si="0"/>
      </c>
      <c r="C35" s="336">
        <f t="shared" si="1"/>
        <v>0</v>
      </c>
      <c r="D35" s="330">
        <f t="shared" si="2"/>
        <v>0</v>
      </c>
      <c r="E35" s="330">
        <f t="shared" si="3"/>
        <v>0</v>
      </c>
      <c r="F35" s="330">
        <f t="shared" si="4"/>
        <v>0</v>
      </c>
      <c r="G35" s="330">
        <f t="shared" si="5"/>
      </c>
      <c r="H35" s="330">
        <f t="shared" si="5"/>
      </c>
      <c r="I35" s="330">
        <f t="shared" si="6"/>
      </c>
      <c r="J35" s="330">
        <f t="shared" si="7"/>
      </c>
      <c r="K35" s="330">
        <f t="shared" si="8"/>
        <v>1</v>
      </c>
      <c r="L35" s="330">
        <f t="shared" si="9"/>
        <v>3</v>
      </c>
      <c r="M35" s="330">
        <f t="shared" si="10"/>
        <v>5</v>
      </c>
      <c r="N35" s="330">
        <f t="shared" si="11"/>
      </c>
      <c r="O35" s="330">
        <f t="shared" si="12"/>
      </c>
      <c r="P35" s="330">
        <f t="shared" si="13"/>
      </c>
      <c r="Q35" s="339" t="str">
        <f t="shared" si="14"/>
        <v>Zero</v>
      </c>
    </row>
    <row r="36" spans="1:17" ht="35.25" customHeight="1">
      <c r="A36" s="341"/>
      <c r="B36" s="342">
        <f t="shared" si="0"/>
      </c>
      <c r="C36" s="336">
        <f t="shared" si="1"/>
        <v>0</v>
      </c>
      <c r="D36" s="330">
        <f t="shared" si="2"/>
        <v>0</v>
      </c>
      <c r="E36" s="330">
        <f t="shared" si="3"/>
        <v>0</v>
      </c>
      <c r="F36" s="330">
        <f t="shared" si="4"/>
        <v>0</v>
      </c>
      <c r="G36" s="330">
        <f t="shared" si="5"/>
      </c>
      <c r="H36" s="330">
        <f t="shared" si="5"/>
      </c>
      <c r="I36" s="330">
        <f t="shared" si="6"/>
      </c>
      <c r="J36" s="330">
        <f t="shared" si="7"/>
      </c>
      <c r="K36" s="330">
        <f t="shared" si="8"/>
        <v>1</v>
      </c>
      <c r="L36" s="330">
        <f t="shared" si="9"/>
        <v>3</v>
      </c>
      <c r="M36" s="330">
        <f t="shared" si="10"/>
        <v>5</v>
      </c>
      <c r="N36" s="330">
        <f t="shared" si="11"/>
      </c>
      <c r="O36" s="330">
        <f t="shared" si="12"/>
      </c>
      <c r="P36" s="330">
        <f t="shared" si="13"/>
      </c>
      <c r="Q36" s="339" t="str">
        <f t="shared" si="14"/>
        <v>Zero</v>
      </c>
    </row>
    <row r="37" spans="1:17" ht="35.25" customHeight="1">
      <c r="A37" s="341"/>
      <c r="B37" s="342">
        <f t="shared" si="0"/>
      </c>
      <c r="C37" s="336">
        <f t="shared" si="1"/>
        <v>0</v>
      </c>
      <c r="D37" s="330">
        <f t="shared" si="2"/>
        <v>0</v>
      </c>
      <c r="E37" s="330">
        <f t="shared" si="3"/>
        <v>0</v>
      </c>
      <c r="F37" s="330">
        <f t="shared" si="4"/>
        <v>0</v>
      </c>
      <c r="G37" s="330">
        <f t="shared" si="5"/>
      </c>
      <c r="H37" s="330">
        <f t="shared" si="5"/>
      </c>
      <c r="I37" s="330">
        <f t="shared" si="6"/>
      </c>
      <c r="J37" s="330">
        <f t="shared" si="7"/>
      </c>
      <c r="K37" s="330">
        <f t="shared" si="8"/>
        <v>1</v>
      </c>
      <c r="L37" s="330">
        <f t="shared" si="9"/>
        <v>3</v>
      </c>
      <c r="M37" s="330">
        <f t="shared" si="10"/>
        <v>5</v>
      </c>
      <c r="N37" s="330">
        <f t="shared" si="11"/>
      </c>
      <c r="O37" s="330">
        <f t="shared" si="12"/>
      </c>
      <c r="P37" s="330">
        <f t="shared" si="13"/>
      </c>
      <c r="Q37" s="339" t="str">
        <f t="shared" si="14"/>
        <v>Zero</v>
      </c>
    </row>
    <row r="38" spans="1:17" ht="35.25" customHeight="1">
      <c r="A38" s="341"/>
      <c r="B38" s="342">
        <f t="shared" si="0"/>
      </c>
      <c r="C38" s="336">
        <f t="shared" si="1"/>
        <v>0</v>
      </c>
      <c r="D38" s="330">
        <f t="shared" si="2"/>
        <v>0</v>
      </c>
      <c r="E38" s="330">
        <f t="shared" si="3"/>
        <v>0</v>
      </c>
      <c r="F38" s="330">
        <f t="shared" si="4"/>
        <v>0</v>
      </c>
      <c r="G38" s="330">
        <f t="shared" si="5"/>
      </c>
      <c r="H38" s="330">
        <f t="shared" si="5"/>
      </c>
      <c r="I38" s="330">
        <f t="shared" si="6"/>
      </c>
      <c r="J38" s="330">
        <f t="shared" si="7"/>
      </c>
      <c r="K38" s="330">
        <f t="shared" si="8"/>
        <v>1</v>
      </c>
      <c r="L38" s="330">
        <f t="shared" si="9"/>
        <v>3</v>
      </c>
      <c r="M38" s="330">
        <f t="shared" si="10"/>
        <v>5</v>
      </c>
      <c r="N38" s="330">
        <f t="shared" si="11"/>
      </c>
      <c r="O38" s="330">
        <f t="shared" si="12"/>
      </c>
      <c r="P38" s="330">
        <f t="shared" si="13"/>
      </c>
      <c r="Q38" s="339" t="str">
        <f t="shared" si="14"/>
        <v>Zero</v>
      </c>
    </row>
    <row r="39" spans="1:17" ht="35.25" customHeight="1">
      <c r="A39" s="341">
        <v>856953</v>
      </c>
      <c r="B39" s="342" t="str">
        <f t="shared" si="0"/>
        <v>(Eight Lakhs Fifty six Thousand Nine Hundred and Fifty three rupees only)</v>
      </c>
      <c r="C39" s="336">
        <f t="shared" si="1"/>
        <v>8</v>
      </c>
      <c r="D39" s="330">
        <f t="shared" si="2"/>
        <v>56</v>
      </c>
      <c r="E39" s="330">
        <f t="shared" si="3"/>
        <v>9</v>
      </c>
      <c r="F39" s="330">
        <f t="shared" si="4"/>
        <v>53</v>
      </c>
      <c r="G39" s="330" t="str">
        <f t="shared" si="5"/>
        <v>Eight</v>
      </c>
      <c r="H39" s="330" t="str">
        <f t="shared" si="5"/>
        <v>Fifty six</v>
      </c>
      <c r="I39" s="330" t="str">
        <f t="shared" si="6"/>
        <v>Nine</v>
      </c>
      <c r="J39" s="330" t="str">
        <f t="shared" si="7"/>
        <v>Fifty three</v>
      </c>
      <c r="K39" s="330">
        <f t="shared" si="8"/>
        <v>2</v>
      </c>
      <c r="L39" s="330">
        <f t="shared" si="9"/>
        <v>4</v>
      </c>
      <c r="M39" s="330">
        <f t="shared" si="10"/>
        <v>6</v>
      </c>
      <c r="N39" s="330" t="str">
        <f t="shared" si="11"/>
        <v> Lakhs </v>
      </c>
      <c r="O39" s="330" t="str">
        <f t="shared" si="12"/>
        <v> Thousand </v>
      </c>
      <c r="P39" s="330" t="str">
        <f t="shared" si="13"/>
        <v> Hundred </v>
      </c>
      <c r="Q39" s="339" t="str">
        <f t="shared" si="14"/>
        <v>Eight Lakhs Fifty six Thousand Nine Hundred and Fifty three</v>
      </c>
    </row>
  </sheetData>
  <sheetProtection/>
  <mergeCells count="4">
    <mergeCell ref="R6:S6"/>
    <mergeCell ref="R7:S7"/>
    <mergeCell ref="R8:S8"/>
    <mergeCell ref="R9:S9"/>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66"/>
  <sheetViews>
    <sheetView zoomScalePageLayoutView="0" workbookViewId="0" topLeftCell="E13">
      <selection activeCell="C5" sqref="C5"/>
    </sheetView>
  </sheetViews>
  <sheetFormatPr defaultColWidth="9.140625" defaultRowHeight="15" customHeight="1"/>
  <cols>
    <col min="1" max="1" width="3.00390625" style="0" customWidth="1"/>
    <col min="2" max="2" width="12.57421875" style="0" customWidth="1"/>
    <col min="3" max="3" width="64.8515625" style="0" customWidth="1"/>
    <col min="4" max="4" width="52.8515625" style="0" customWidth="1"/>
    <col min="5" max="5" width="1.1484375" style="0" customWidth="1"/>
    <col min="6" max="6" width="40.421875" style="0" customWidth="1"/>
    <col min="7" max="7" width="16.421875" style="0" customWidth="1"/>
    <col min="8" max="8" width="14.140625" style="0" customWidth="1"/>
    <col min="9" max="18" width="9.140625" style="0" customWidth="1"/>
  </cols>
  <sheetData>
    <row r="1" spans="1:8" ht="15" customHeight="1">
      <c r="A1" s="1"/>
      <c r="B1" s="2" t="s">
        <v>561</v>
      </c>
      <c r="C1" s="3" t="s">
        <v>459</v>
      </c>
      <c r="D1" s="3" t="s">
        <v>340</v>
      </c>
      <c r="E1" s="4"/>
      <c r="F1" s="5"/>
      <c r="G1" s="5"/>
      <c r="H1" s="5"/>
    </row>
    <row r="2" spans="1:9" ht="38.25">
      <c r="A2" s="1"/>
      <c r="B2" s="6" t="s">
        <v>38</v>
      </c>
      <c r="C2" s="7" t="s">
        <v>534</v>
      </c>
      <c r="D2" s="7" t="s">
        <v>353</v>
      </c>
      <c r="E2" s="8"/>
      <c r="F2" s="9" t="s">
        <v>157</v>
      </c>
      <c r="G2" s="10" t="s">
        <v>30</v>
      </c>
      <c r="H2" s="10" t="s">
        <v>561</v>
      </c>
      <c r="I2" s="4"/>
    </row>
    <row r="3" spans="1:9" ht="102">
      <c r="A3" s="1"/>
      <c r="B3" s="6" t="s">
        <v>69</v>
      </c>
      <c r="C3" s="7" t="s">
        <v>34</v>
      </c>
      <c r="D3" s="7" t="s">
        <v>186</v>
      </c>
      <c r="E3" s="8"/>
      <c r="F3" s="11" t="s">
        <v>89</v>
      </c>
      <c r="G3" s="12">
        <v>100000</v>
      </c>
      <c r="H3" s="13" t="s">
        <v>66</v>
      </c>
      <c r="I3" s="4"/>
    </row>
    <row r="4" spans="1:9" ht="51">
      <c r="A4" s="1"/>
      <c r="B4" s="6" t="s">
        <v>566</v>
      </c>
      <c r="C4" s="7" t="s">
        <v>147</v>
      </c>
      <c r="D4" s="7" t="s">
        <v>533</v>
      </c>
      <c r="E4" s="8"/>
      <c r="F4" s="11" t="s">
        <v>298</v>
      </c>
      <c r="G4" s="12">
        <v>100000</v>
      </c>
      <c r="H4" s="13" t="s">
        <v>66</v>
      </c>
      <c r="I4" s="4"/>
    </row>
    <row r="5" spans="1:9" ht="38.25">
      <c r="A5" s="1"/>
      <c r="B5" s="6"/>
      <c r="C5" s="7" t="s">
        <v>345</v>
      </c>
      <c r="D5" s="7" t="s">
        <v>457</v>
      </c>
      <c r="E5" s="8"/>
      <c r="F5" s="11" t="s">
        <v>398</v>
      </c>
      <c r="G5" s="12">
        <v>100000</v>
      </c>
      <c r="H5" s="13" t="s">
        <v>66</v>
      </c>
      <c r="I5" s="4"/>
    </row>
    <row r="6" spans="1:9" ht="76.5">
      <c r="A6" s="1"/>
      <c r="B6" s="6" t="s">
        <v>18</v>
      </c>
      <c r="C6" s="7" t="s">
        <v>417</v>
      </c>
      <c r="D6" s="7" t="s">
        <v>148</v>
      </c>
      <c r="E6" s="8"/>
      <c r="F6" s="11" t="s">
        <v>335</v>
      </c>
      <c r="G6" s="12">
        <v>100000</v>
      </c>
      <c r="H6" s="13" t="s">
        <v>66</v>
      </c>
      <c r="I6" s="4"/>
    </row>
    <row r="7" spans="1:9" ht="63.75">
      <c r="A7" s="1"/>
      <c r="B7" s="6" t="s">
        <v>67</v>
      </c>
      <c r="C7" s="7" t="s">
        <v>184</v>
      </c>
      <c r="D7" s="7" t="s">
        <v>244</v>
      </c>
      <c r="E7" s="8"/>
      <c r="F7" s="11" t="s">
        <v>305</v>
      </c>
      <c r="G7" s="12">
        <v>100000</v>
      </c>
      <c r="H7" s="13" t="s">
        <v>66</v>
      </c>
      <c r="I7" s="4"/>
    </row>
    <row r="8" spans="1:9" ht="38.25">
      <c r="A8" s="1"/>
      <c r="B8" s="6" t="s">
        <v>70</v>
      </c>
      <c r="C8" s="7" t="s">
        <v>261</v>
      </c>
      <c r="D8" s="7" t="s">
        <v>433</v>
      </c>
      <c r="E8" s="8"/>
      <c r="F8" s="11" t="s">
        <v>21</v>
      </c>
      <c r="G8" s="14">
        <v>100000</v>
      </c>
      <c r="H8" s="13" t="s">
        <v>66</v>
      </c>
      <c r="I8" s="4"/>
    </row>
    <row r="9" spans="1:9" ht="38.25">
      <c r="A9" s="1"/>
      <c r="B9" s="6" t="s">
        <v>449</v>
      </c>
      <c r="C9" s="15" t="s">
        <v>460</v>
      </c>
      <c r="D9" s="15" t="s">
        <v>386</v>
      </c>
      <c r="E9" s="8"/>
      <c r="F9" s="11" t="s">
        <v>101</v>
      </c>
      <c r="G9" s="14">
        <v>100000</v>
      </c>
      <c r="H9" s="13" t="s">
        <v>66</v>
      </c>
      <c r="I9" s="4"/>
    </row>
    <row r="10" spans="1:9" ht="15">
      <c r="A10" s="1"/>
      <c r="B10" s="6"/>
      <c r="C10" s="16" t="s">
        <v>462</v>
      </c>
      <c r="D10" s="16"/>
      <c r="E10" s="8"/>
      <c r="F10" s="11" t="s">
        <v>130</v>
      </c>
      <c r="G10" s="14">
        <v>100000</v>
      </c>
      <c r="H10" s="13" t="s">
        <v>66</v>
      </c>
      <c r="I10" s="4"/>
    </row>
    <row r="11" spans="1:9" ht="25.5">
      <c r="A11" s="1"/>
      <c r="B11" s="6"/>
      <c r="C11" s="16" t="s">
        <v>240</v>
      </c>
      <c r="D11" s="16" t="s">
        <v>304</v>
      </c>
      <c r="E11" s="8"/>
      <c r="F11" s="11" t="s">
        <v>391</v>
      </c>
      <c r="G11" s="14">
        <v>100000</v>
      </c>
      <c r="H11" s="13" t="s">
        <v>66</v>
      </c>
      <c r="I11" s="4"/>
    </row>
    <row r="12" spans="1:9" ht="25.5">
      <c r="A12" s="1"/>
      <c r="B12" s="6"/>
      <c r="C12" s="17" t="s">
        <v>483</v>
      </c>
      <c r="D12" s="17" t="s">
        <v>338</v>
      </c>
      <c r="E12" s="8"/>
      <c r="F12" s="11" t="s">
        <v>455</v>
      </c>
      <c r="G12" s="14">
        <v>100000</v>
      </c>
      <c r="H12" s="13" t="s">
        <v>66</v>
      </c>
      <c r="I12" s="4"/>
    </row>
    <row r="13" spans="1:9" ht="38.25">
      <c r="A13" s="1"/>
      <c r="B13" s="18" t="s">
        <v>59</v>
      </c>
      <c r="C13" s="15" t="s">
        <v>349</v>
      </c>
      <c r="D13" s="15" t="s">
        <v>232</v>
      </c>
      <c r="E13" s="8"/>
      <c r="F13" s="11" t="s">
        <v>456</v>
      </c>
      <c r="G13" s="12">
        <v>20000</v>
      </c>
      <c r="H13" s="13" t="s">
        <v>36</v>
      </c>
      <c r="I13" s="4"/>
    </row>
    <row r="14" spans="1:9" ht="15">
      <c r="A14" s="1"/>
      <c r="B14" s="19"/>
      <c r="C14" s="16" t="s">
        <v>318</v>
      </c>
      <c r="D14" s="16"/>
      <c r="E14" s="8"/>
      <c r="F14" s="11" t="s">
        <v>257</v>
      </c>
      <c r="G14" s="12">
        <v>10000</v>
      </c>
      <c r="H14" s="13" t="s">
        <v>38</v>
      </c>
      <c r="I14" s="4"/>
    </row>
    <row r="15" spans="1:8" ht="15">
      <c r="A15" s="1"/>
      <c r="B15" s="19"/>
      <c r="C15" s="16" t="s">
        <v>203</v>
      </c>
      <c r="D15" s="16"/>
      <c r="E15" s="4"/>
      <c r="F15" s="20"/>
      <c r="G15" s="20"/>
      <c r="H15" s="20"/>
    </row>
    <row r="16" spans="1:5" ht="38.25">
      <c r="A16" s="1"/>
      <c r="B16" s="19"/>
      <c r="C16" s="16" t="s">
        <v>513</v>
      </c>
      <c r="D16" s="16"/>
      <c r="E16" s="4"/>
    </row>
    <row r="17" spans="1:5" ht="15">
      <c r="A17" s="1"/>
      <c r="B17" s="19"/>
      <c r="C17" s="16" t="s">
        <v>501</v>
      </c>
      <c r="D17" s="16"/>
      <c r="E17" s="4"/>
    </row>
    <row r="18" spans="1:5" ht="25.5">
      <c r="A18" s="1"/>
      <c r="B18" s="19"/>
      <c r="C18" s="16" t="s">
        <v>526</v>
      </c>
      <c r="D18" s="16"/>
      <c r="E18" s="4"/>
    </row>
    <row r="19" spans="1:5" ht="25.5">
      <c r="A19" s="1"/>
      <c r="B19" s="19"/>
      <c r="C19" s="16" t="s">
        <v>275</v>
      </c>
      <c r="D19" s="16"/>
      <c r="E19" s="4"/>
    </row>
    <row r="20" spans="1:5" ht="25.5">
      <c r="A20" s="1"/>
      <c r="B20" s="19"/>
      <c r="C20" s="16" t="s">
        <v>293</v>
      </c>
      <c r="D20" s="16"/>
      <c r="E20" s="4"/>
    </row>
    <row r="21" spans="1:5" ht="25.5">
      <c r="A21" s="1"/>
      <c r="B21" s="19"/>
      <c r="C21" s="16" t="s">
        <v>523</v>
      </c>
      <c r="D21" s="16"/>
      <c r="E21" s="4"/>
    </row>
    <row r="22" spans="1:5" ht="25.5">
      <c r="A22" s="1"/>
      <c r="B22" s="19"/>
      <c r="C22" s="16" t="s">
        <v>259</v>
      </c>
      <c r="D22" s="16"/>
      <c r="E22" s="4"/>
    </row>
    <row r="23" spans="1:5" ht="38.25">
      <c r="A23" s="1"/>
      <c r="B23" s="19"/>
      <c r="C23" s="16" t="s">
        <v>377</v>
      </c>
      <c r="D23" s="16"/>
      <c r="E23" s="4"/>
    </row>
    <row r="24" spans="1:5" ht="15">
      <c r="A24" s="1"/>
      <c r="B24" s="19"/>
      <c r="C24" s="16" t="s">
        <v>42</v>
      </c>
      <c r="D24" s="16"/>
      <c r="E24" s="4"/>
    </row>
    <row r="25" spans="1:5" ht="25.5">
      <c r="A25" s="1"/>
      <c r="B25" s="19"/>
      <c r="C25" s="16" t="s">
        <v>512</v>
      </c>
      <c r="D25" s="16"/>
      <c r="E25" s="4"/>
    </row>
    <row r="26" spans="1:5" ht="15">
      <c r="A26" s="1"/>
      <c r="B26" s="19"/>
      <c r="C26" s="16" t="s">
        <v>82</v>
      </c>
      <c r="D26" s="16"/>
      <c r="E26" s="4"/>
    </row>
    <row r="27" spans="1:5" ht="25.5">
      <c r="A27" s="1"/>
      <c r="B27" s="21"/>
      <c r="C27" s="16" t="s">
        <v>85</v>
      </c>
      <c r="D27" s="17"/>
      <c r="E27" s="4"/>
    </row>
    <row r="28" spans="1:5" ht="25.5">
      <c r="A28" s="1"/>
      <c r="B28" s="6" t="s">
        <v>51</v>
      </c>
      <c r="C28" s="17" t="s">
        <v>150</v>
      </c>
      <c r="D28" s="7" t="s">
        <v>162</v>
      </c>
      <c r="E28" s="4"/>
    </row>
    <row r="29" spans="2:4" ht="15" customHeight="1">
      <c r="B29" s="20"/>
      <c r="C29" s="20"/>
      <c r="D29" s="20"/>
    </row>
    <row r="32" spans="2:18" ht="23.25">
      <c r="B32" s="350" t="s">
        <v>346</v>
      </c>
      <c r="C32" s="350"/>
      <c r="D32" s="350"/>
      <c r="E32" s="22"/>
      <c r="F32" s="22"/>
      <c r="G32" s="22"/>
      <c r="H32" s="22"/>
      <c r="I32" s="22"/>
      <c r="J32" s="22"/>
      <c r="K32" s="22"/>
      <c r="L32" s="22"/>
      <c r="M32" s="22"/>
      <c r="N32" s="22"/>
      <c r="O32" s="22"/>
      <c r="P32" s="22"/>
      <c r="Q32" s="22"/>
      <c r="R32" s="22"/>
    </row>
    <row r="33" spans="2:18" ht="23.25">
      <c r="B33" s="350"/>
      <c r="C33" s="350"/>
      <c r="D33" s="350"/>
      <c r="E33" s="22"/>
      <c r="F33" s="22"/>
      <c r="G33" s="22"/>
      <c r="H33" s="22"/>
      <c r="I33" s="22"/>
      <c r="J33" s="22"/>
      <c r="K33" s="22"/>
      <c r="L33" s="22"/>
      <c r="M33" s="22"/>
      <c r="N33" s="22"/>
      <c r="O33" s="22"/>
      <c r="P33" s="22"/>
      <c r="Q33" s="22"/>
      <c r="R33" s="22"/>
    </row>
    <row r="34" spans="2:4" ht="15" customHeight="1">
      <c r="B34" s="23"/>
      <c r="C34" s="23"/>
      <c r="D34" s="23"/>
    </row>
    <row r="35" spans="2:5" ht="15" customHeight="1">
      <c r="B35" s="351" t="s">
        <v>519</v>
      </c>
      <c r="C35" s="351"/>
      <c r="D35" s="351"/>
      <c r="E35" s="24"/>
    </row>
    <row r="36" spans="2:4" ht="15" customHeight="1">
      <c r="B36" s="25" t="s">
        <v>413</v>
      </c>
      <c r="C36" s="23"/>
      <c r="D36" s="23"/>
    </row>
    <row r="37" spans="2:4" ht="15" customHeight="1">
      <c r="B37" s="23" t="s">
        <v>387</v>
      </c>
      <c r="C37" s="23"/>
      <c r="D37" s="23"/>
    </row>
    <row r="38" spans="2:4" ht="15" customHeight="1">
      <c r="B38" s="23" t="s">
        <v>1</v>
      </c>
      <c r="C38" s="23"/>
      <c r="D38" s="23"/>
    </row>
    <row r="39" spans="2:4" ht="15" customHeight="1">
      <c r="B39" s="23" t="s">
        <v>290</v>
      </c>
      <c r="C39" s="23"/>
      <c r="D39" s="23"/>
    </row>
    <row r="40" spans="2:4" ht="15" customHeight="1">
      <c r="B40" s="23" t="s">
        <v>339</v>
      </c>
      <c r="C40" s="23"/>
      <c r="D40" s="23"/>
    </row>
    <row r="41" spans="2:4" ht="15" customHeight="1">
      <c r="B41" s="23" t="s">
        <v>11</v>
      </c>
      <c r="C41" s="23"/>
      <c r="D41" s="23"/>
    </row>
    <row r="42" spans="2:4" ht="15" customHeight="1">
      <c r="B42" s="23" t="s">
        <v>106</v>
      </c>
      <c r="C42" s="23"/>
      <c r="D42" s="23"/>
    </row>
    <row r="43" spans="2:4" ht="15" customHeight="1">
      <c r="B43" s="23" t="s">
        <v>71</v>
      </c>
      <c r="C43" s="23"/>
      <c r="D43" s="23"/>
    </row>
    <row r="44" spans="2:4" ht="15" customHeight="1">
      <c r="B44" s="23" t="s">
        <v>516</v>
      </c>
      <c r="C44" s="23"/>
      <c r="D44" s="23"/>
    </row>
    <row r="45" spans="2:5" ht="15" customHeight="1">
      <c r="B45" s="349" t="s">
        <v>424</v>
      </c>
      <c r="C45" s="349"/>
      <c r="D45" s="349"/>
      <c r="E45" s="26"/>
    </row>
    <row r="46" spans="2:4" ht="15" customHeight="1">
      <c r="B46" s="349" t="s">
        <v>388</v>
      </c>
      <c r="C46" s="349"/>
      <c r="D46" s="349"/>
    </row>
    <row r="47" spans="2:14" ht="15" customHeight="1">
      <c r="B47" s="349" t="s">
        <v>543</v>
      </c>
      <c r="C47" s="349"/>
      <c r="D47" s="349"/>
      <c r="E47" s="26"/>
      <c r="F47" s="26"/>
      <c r="G47" s="26"/>
      <c r="H47" s="26"/>
      <c r="I47" s="26"/>
      <c r="J47" s="26"/>
      <c r="K47" s="26"/>
      <c r="L47" s="26"/>
      <c r="M47" s="26"/>
      <c r="N47" s="26"/>
    </row>
    <row r="48" spans="2:4" ht="15" customHeight="1">
      <c r="B48" s="23" t="s">
        <v>168</v>
      </c>
      <c r="C48" s="23"/>
      <c r="D48" s="23"/>
    </row>
    <row r="49" spans="2:4" ht="15" customHeight="1">
      <c r="B49" s="23" t="s">
        <v>152</v>
      </c>
      <c r="C49" s="23"/>
      <c r="D49" s="23"/>
    </row>
    <row r="50" spans="2:4" ht="15" customHeight="1">
      <c r="B50" s="23" t="s">
        <v>84</v>
      </c>
      <c r="C50" s="23"/>
      <c r="D50" s="23"/>
    </row>
    <row r="51" spans="2:4" ht="15" customHeight="1">
      <c r="B51" s="23" t="s">
        <v>316</v>
      </c>
      <c r="C51" s="23"/>
      <c r="D51" s="23"/>
    </row>
    <row r="52" spans="2:4" ht="15" customHeight="1">
      <c r="B52" s="23" t="s">
        <v>421</v>
      </c>
      <c r="C52" s="23"/>
      <c r="D52" s="23"/>
    </row>
    <row r="53" spans="2:4" ht="15" customHeight="1">
      <c r="B53" s="23" t="s">
        <v>564</v>
      </c>
      <c r="C53" s="23"/>
      <c r="D53" s="23"/>
    </row>
    <row r="54" spans="2:4" ht="15" customHeight="1">
      <c r="B54" s="23" t="s">
        <v>288</v>
      </c>
      <c r="C54" s="23"/>
      <c r="D54" s="23"/>
    </row>
    <row r="55" spans="2:4" ht="15" customHeight="1">
      <c r="B55" s="23" t="s">
        <v>375</v>
      </c>
      <c r="C55" s="23"/>
      <c r="D55" s="23"/>
    </row>
    <row r="56" spans="2:4" ht="15" customHeight="1">
      <c r="B56" s="349" t="s">
        <v>402</v>
      </c>
      <c r="C56" s="349"/>
      <c r="D56" s="349"/>
    </row>
    <row r="57" spans="2:4" ht="15" customHeight="1">
      <c r="B57" s="23" t="s">
        <v>226</v>
      </c>
      <c r="C57" s="23"/>
      <c r="D57" s="23"/>
    </row>
    <row r="58" spans="2:4" ht="15" customHeight="1">
      <c r="B58" s="23" t="s">
        <v>332</v>
      </c>
      <c r="C58" s="23"/>
      <c r="D58" s="23"/>
    </row>
    <row r="59" spans="2:4" ht="15" customHeight="1">
      <c r="B59" s="23" t="s">
        <v>445</v>
      </c>
      <c r="C59" s="23"/>
      <c r="D59" s="23"/>
    </row>
    <row r="60" spans="2:4" ht="15" customHeight="1">
      <c r="B60" s="349" t="s">
        <v>254</v>
      </c>
      <c r="C60" s="349"/>
      <c r="D60" s="349"/>
    </row>
    <row r="61" spans="2:4" ht="15" customHeight="1">
      <c r="B61" s="349" t="s">
        <v>228</v>
      </c>
      <c r="C61" s="349"/>
      <c r="D61" s="349"/>
    </row>
    <row r="62" spans="2:4" ht="15" customHeight="1">
      <c r="B62" s="23" t="s">
        <v>447</v>
      </c>
      <c r="C62" s="23"/>
      <c r="D62" s="23"/>
    </row>
    <row r="63" spans="2:18" ht="15" customHeight="1">
      <c r="B63" s="349" t="s">
        <v>410</v>
      </c>
      <c r="C63" s="349"/>
      <c r="D63" s="349"/>
      <c r="E63" s="26"/>
      <c r="F63" s="26"/>
      <c r="G63" s="26"/>
      <c r="H63" s="26"/>
      <c r="I63" s="26"/>
      <c r="J63" s="26"/>
      <c r="K63" s="26"/>
      <c r="L63" s="26"/>
      <c r="M63" s="26"/>
      <c r="N63" s="26"/>
      <c r="O63" s="26"/>
      <c r="P63" s="26"/>
      <c r="Q63" s="26"/>
      <c r="R63" s="26"/>
    </row>
    <row r="64" spans="2:4" ht="15" customHeight="1">
      <c r="B64" s="349" t="s">
        <v>178</v>
      </c>
      <c r="C64" s="349"/>
      <c r="D64" s="349"/>
    </row>
    <row r="65" spans="2:4" ht="15" customHeight="1">
      <c r="B65" s="349" t="s">
        <v>535</v>
      </c>
      <c r="C65" s="349"/>
      <c r="D65" s="349"/>
    </row>
    <row r="66" spans="2:4" ht="15" customHeight="1">
      <c r="B66" s="349" t="s">
        <v>103</v>
      </c>
      <c r="C66" s="349"/>
      <c r="D66" s="349"/>
    </row>
  </sheetData>
  <sheetProtection/>
  <mergeCells count="13">
    <mergeCell ref="B32:D32"/>
    <mergeCell ref="B33:D33"/>
    <mergeCell ref="B35:D35"/>
    <mergeCell ref="B45:D45"/>
    <mergeCell ref="B46:D46"/>
    <mergeCell ref="B47:D47"/>
    <mergeCell ref="B66:D66"/>
    <mergeCell ref="B56:D56"/>
    <mergeCell ref="B60:D60"/>
    <mergeCell ref="B61:D61"/>
    <mergeCell ref="B63:D63"/>
    <mergeCell ref="B64:D64"/>
    <mergeCell ref="B65:D65"/>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L184"/>
  <sheetViews>
    <sheetView zoomScalePageLayoutView="0" workbookViewId="0" topLeftCell="A11">
      <selection activeCell="E18" sqref="E18:F18"/>
    </sheetView>
  </sheetViews>
  <sheetFormatPr defaultColWidth="9.00390625" defaultRowHeight="26.25" customHeight="1"/>
  <cols>
    <col min="1" max="1" width="2.421875" style="0" customWidth="1"/>
    <col min="2" max="2" width="19.7109375" style="0" customWidth="1"/>
    <col min="3" max="4" width="8.00390625" style="0" customWidth="1"/>
    <col min="5" max="5" width="7.421875" style="0" customWidth="1"/>
    <col min="6" max="6" width="6.7109375" style="0" customWidth="1"/>
    <col min="7" max="8" width="7.00390625" style="0" customWidth="1"/>
    <col min="9" max="9" width="8.7109375" style="0" customWidth="1"/>
    <col min="10" max="11" width="7.57421875" style="0" customWidth="1"/>
    <col min="12" max="13" width="7.00390625" style="0" customWidth="1"/>
    <col min="14" max="14" width="8.57421875" style="0" customWidth="1"/>
    <col min="15" max="15" width="9.7109375" style="0" customWidth="1"/>
    <col min="16" max="194" width="9.00390625" style="0" customWidth="1"/>
  </cols>
  <sheetData>
    <row r="1" spans="2:194" ht="26.25" customHeight="1" hidden="1">
      <c r="B1" s="5"/>
      <c r="C1" s="27"/>
      <c r="D1" s="27"/>
      <c r="E1" s="27"/>
      <c r="F1" s="5"/>
      <c r="G1" s="5"/>
      <c r="H1" s="5"/>
      <c r="I1" s="5"/>
      <c r="J1" s="5"/>
      <c r="K1" s="5"/>
      <c r="L1" s="5"/>
      <c r="M1" s="5"/>
      <c r="N1" s="5"/>
      <c r="O1" s="5"/>
      <c r="P1" s="5"/>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row>
    <row r="2" spans="1:46" ht="26.25" customHeight="1">
      <c r="A2" s="1"/>
      <c r="B2" s="419" t="s">
        <v>553</v>
      </c>
      <c r="C2" s="420"/>
      <c r="D2" s="420"/>
      <c r="E2" s="420"/>
      <c r="F2" s="420"/>
      <c r="G2" s="420"/>
      <c r="H2" s="420"/>
      <c r="I2" s="420"/>
      <c r="J2" s="420"/>
      <c r="K2" s="420"/>
      <c r="L2" s="420"/>
      <c r="M2" s="420"/>
      <c r="N2" s="420"/>
      <c r="O2" s="420"/>
      <c r="P2" s="421"/>
      <c r="Q2" s="4"/>
      <c r="Z2" s="29">
        <v>3</v>
      </c>
      <c r="AA2" s="29" t="str">
        <f>VLOOKUP(Z2,AA3:AB15,2,0)</f>
        <v>SGT</v>
      </c>
      <c r="AB2" s="29">
        <v>1</v>
      </c>
      <c r="AC2" s="29">
        <f>VLOOKUP(AB2,AA3:AC15,3,0)</f>
      </c>
      <c r="AF2" s="29" t="s">
        <v>83</v>
      </c>
      <c r="AG2" s="29">
        <f>AB182</f>
        <v>8170</v>
      </c>
      <c r="AP2" s="29">
        <v>1</v>
      </c>
      <c r="AQ2" s="29">
        <v>2</v>
      </c>
      <c r="AR2" s="29">
        <v>3</v>
      </c>
      <c r="AS2" s="29">
        <v>4</v>
      </c>
      <c r="AT2" s="29">
        <v>5</v>
      </c>
    </row>
    <row r="3" spans="1:53" ht="23.25" customHeight="1">
      <c r="A3" s="1"/>
      <c r="B3" s="293" t="s">
        <v>123</v>
      </c>
      <c r="C3" s="300"/>
      <c r="D3" s="398" t="s">
        <v>595</v>
      </c>
      <c r="E3" s="399"/>
      <c r="F3" s="399"/>
      <c r="G3" s="399"/>
      <c r="H3" s="399"/>
      <c r="I3" s="400"/>
      <c r="J3" s="422" t="s">
        <v>430</v>
      </c>
      <c r="K3" s="423"/>
      <c r="L3" s="288"/>
      <c r="M3" s="289"/>
      <c r="N3" s="290"/>
      <c r="O3" s="290"/>
      <c r="P3" s="291"/>
      <c r="Q3" s="4"/>
      <c r="AA3" s="29">
        <v>1</v>
      </c>
      <c r="AB3" s="29" t="s">
        <v>432</v>
      </c>
      <c r="AC3" s="29">
        <f>IF((Z2&lt;=2),"(Telugu)","")</f>
      </c>
      <c r="AF3" s="29" t="s">
        <v>329</v>
      </c>
      <c r="AG3" s="29">
        <f>AB184</f>
        <v>14440</v>
      </c>
      <c r="AN3" s="29">
        <v>2</v>
      </c>
      <c r="AO3" s="29" t="s">
        <v>428</v>
      </c>
      <c r="AP3" s="29">
        <f>IF((AN3&gt;=AG5),AH5,AG3)</f>
        <v>14440</v>
      </c>
      <c r="AQ3" s="29">
        <f>IF((AN3&gt;=AG5),AI5,AG3)</f>
        <v>14440</v>
      </c>
      <c r="AR3" s="29">
        <f>AG3</f>
        <v>14440</v>
      </c>
      <c r="AS3" s="29">
        <f>AG3</f>
        <v>14440</v>
      </c>
      <c r="AT3" s="29">
        <f>AG3</f>
        <v>14440</v>
      </c>
      <c r="AZ3" s="29">
        <v>1</v>
      </c>
      <c r="BA3" s="34" t="s">
        <v>337</v>
      </c>
    </row>
    <row r="4" spans="1:53" ht="26.25" customHeight="1">
      <c r="A4" s="1"/>
      <c r="B4" s="293" t="s">
        <v>331</v>
      </c>
      <c r="C4" s="424" t="s">
        <v>596</v>
      </c>
      <c r="D4" s="424"/>
      <c r="E4" s="424"/>
      <c r="F4" s="424"/>
      <c r="G4" s="424"/>
      <c r="H4" s="424"/>
      <c r="I4" s="424"/>
      <c r="J4" s="388" t="s">
        <v>209</v>
      </c>
      <c r="K4" s="390"/>
      <c r="L4" s="398" t="s">
        <v>592</v>
      </c>
      <c r="M4" s="399"/>
      <c r="N4" s="399"/>
      <c r="O4" s="399"/>
      <c r="P4" s="400"/>
      <c r="Q4" s="4"/>
      <c r="Z4" s="29" t="str">
        <f>CONCATENATE(AA2,", ",AC2)</f>
        <v>SGT, </v>
      </c>
      <c r="AA4" s="29">
        <v>2</v>
      </c>
      <c r="AB4" s="29" t="s">
        <v>237</v>
      </c>
      <c r="AC4" s="29">
        <f>IF((Z2&lt;=2),"(Hindi)","")</f>
      </c>
      <c r="AH4" s="29" t="s">
        <v>57</v>
      </c>
      <c r="AJ4" s="29" t="s">
        <v>415</v>
      </c>
      <c r="AK4" s="29" t="s">
        <v>396</v>
      </c>
      <c r="AL4" s="29" t="s">
        <v>497</v>
      </c>
      <c r="AN4" s="29">
        <v>3</v>
      </c>
      <c r="AO4" s="29" t="s">
        <v>489</v>
      </c>
      <c r="AP4" s="29">
        <f>IF(AND((AN4&gt;AG7)),AH7,IF(AND((AN4&gt;AG6)),AH6,IF(AND((AN4&gt;=AG5)),AH5,AG3)))</f>
        <v>14440</v>
      </c>
      <c r="AQ4" s="29">
        <f>IF(AND((AN4&gt;AG6)),AI6,IF(AND((AN4&gt;AG7)),AI7,IF(AND((AN4&gt;=AG5)),AI5,AG3)))</f>
        <v>14440</v>
      </c>
      <c r="AR4" s="29">
        <f>IF(AND((AN4&gt;AG7)),AJ7,IF(AND((AN4&gt;=AG5)),AJ5,IF(AND((AN4&gt;AG6)),AJ6,AG3)))</f>
        <v>14440</v>
      </c>
      <c r="AS4" s="29">
        <f>IF(AND((AN4&gt;=AG5)),AK5,IF(AND((AN4&gt;AG7)),AK7,IF(AND((AN4&gt;AG6)),AK6,AG3)))</f>
        <v>14440</v>
      </c>
      <c r="AT4" s="29">
        <f>IF(AND((AN4&gt;AG6)),AL6,IF(AND((AN4&gt;=AG5)),AL5,IF(AND((AN4&gt;AG7)),AL7,AG3)))</f>
        <v>14440</v>
      </c>
      <c r="AZ4" s="29">
        <v>2</v>
      </c>
      <c r="BA4" s="34" t="s">
        <v>93</v>
      </c>
    </row>
    <row r="5" spans="1:53" ht="26.25" customHeight="1">
      <c r="A5" s="1"/>
      <c r="B5" s="294" t="s">
        <v>390</v>
      </c>
      <c r="C5" s="404" t="s">
        <v>111</v>
      </c>
      <c r="D5" s="406"/>
      <c r="E5" s="301"/>
      <c r="F5" s="302"/>
      <c r="G5" s="404" t="s">
        <v>120</v>
      </c>
      <c r="H5" s="406"/>
      <c r="I5" s="303"/>
      <c r="J5" s="288"/>
      <c r="K5" s="303" t="s">
        <v>510</v>
      </c>
      <c r="L5" s="303">
        <v>0</v>
      </c>
      <c r="M5" s="303" t="s">
        <v>163</v>
      </c>
      <c r="N5" s="303">
        <v>0</v>
      </c>
      <c r="O5" s="303" t="s">
        <v>190</v>
      </c>
      <c r="P5" s="303">
        <v>0</v>
      </c>
      <c r="Q5" s="4"/>
      <c r="AA5" s="29">
        <v>3</v>
      </c>
      <c r="AB5" s="29" t="s">
        <v>313</v>
      </c>
      <c r="AC5" s="29">
        <f>IF((Z2&lt;=2),"(Urdu)","")</f>
      </c>
      <c r="AF5" s="29" t="s">
        <v>8</v>
      </c>
      <c r="AG5" s="29">
        <f>IF((AA70=1),25,AA70)</f>
        <v>4</v>
      </c>
      <c r="AH5" s="29">
        <f>VLOOKUP(AG3,AE99:AF178,2,0)</f>
        <v>14860</v>
      </c>
      <c r="AI5" s="29">
        <f>VLOOKUP(AG3,AE99:AF178,2,0)</f>
        <v>14860</v>
      </c>
      <c r="AJ5" s="29">
        <f>VLOOKUP(AJ6,AE99:AF178,2,0)</f>
        <v>15280</v>
      </c>
      <c r="AK5" s="29">
        <f>VLOOKUP(AK7,AE99:AF178,2,0)</f>
        <v>16150</v>
      </c>
      <c r="AL5" s="36">
        <f>IF((T117=1),VLOOKUP(AL7,AE99:AG178,2,0),VLOOKUP(AL7,AE99:AG178,3,0))</f>
        <v>15700</v>
      </c>
      <c r="AN5" s="29">
        <v>4</v>
      </c>
      <c r="AO5" s="29" t="s">
        <v>283</v>
      </c>
      <c r="AP5" s="29">
        <f>IF(AND((AN5&gt;AG7)),AH7,IF(AND((AN5&gt;AG6)),AH6,IF(AND((AN5&gt;=AG5)),AH5,AG3)))</f>
        <v>14860</v>
      </c>
      <c r="AQ5" s="29">
        <f>IF(AND((AN5&gt;AG6)),AI6,IF(AND((AN5&gt;AG7)),AI7,IF(AND((AN5&gt;=AG5)),AI5,AG3)))</f>
        <v>14860</v>
      </c>
      <c r="AR5" s="29">
        <f>IF(AND((AN5&gt;AG7)),AJ7,IF(AND((AN5&gt;=AG5)),AJ5,IF(AND((AN5&gt;AG6)),AJ6,AG3)))</f>
        <v>15280</v>
      </c>
      <c r="AS5" s="29">
        <f>IF(AND((AN5&gt;=AG5)),AK5,IF(AND((AN5&gt;AG7)),AK7,IF(AND((AN5&gt;AG6)),AK6,AG3)))</f>
        <v>16150</v>
      </c>
      <c r="AT5" s="29">
        <f>IF(AND((AN5&gt;AG6)),AL6,IF(AND((AN5&gt;=AG5)),AL5,IF(AND((AN5&gt;AG7)),AL7,AG3)))</f>
        <v>15700</v>
      </c>
      <c r="AZ5" s="29">
        <v>3</v>
      </c>
      <c r="BA5" s="34" t="s">
        <v>411</v>
      </c>
    </row>
    <row r="6" spans="1:53" ht="24.75" customHeight="1">
      <c r="A6" s="1"/>
      <c r="B6" s="294" t="s">
        <v>302</v>
      </c>
      <c r="C6" s="304"/>
      <c r="D6" s="302"/>
      <c r="E6" s="412" t="s">
        <v>503</v>
      </c>
      <c r="F6" s="405"/>
      <c r="G6" s="406"/>
      <c r="H6" s="304"/>
      <c r="I6" s="305"/>
      <c r="J6" s="290"/>
      <c r="K6" s="290"/>
      <c r="L6" s="302"/>
      <c r="M6" s="303" t="s">
        <v>95</v>
      </c>
      <c r="N6" s="303"/>
      <c r="O6" s="308" t="s">
        <v>234</v>
      </c>
      <c r="P6" s="303"/>
      <c r="Q6" s="4"/>
      <c r="AA6" s="29">
        <v>4</v>
      </c>
      <c r="AB6" s="29" t="s">
        <v>267</v>
      </c>
      <c r="AC6" s="29">
        <f>IF((Z2&lt;=2),"(                    )","")</f>
      </c>
      <c r="AF6" s="29" t="s">
        <v>126</v>
      </c>
      <c r="AG6" s="29">
        <f>IF((AA85=2),25,(AA87+1))</f>
        <v>25</v>
      </c>
      <c r="AH6" s="29">
        <f>VLOOKUP(AH5,AE99:AF178,2,0)</f>
        <v>15280</v>
      </c>
      <c r="AI6" s="29">
        <f>VLOOKUP(AI7,AE99:AF178,2,0)</f>
        <v>16150</v>
      </c>
      <c r="AJ6" s="29">
        <f>VLOOKUP(AG3,AE99:AF178,2,0)</f>
        <v>14860</v>
      </c>
      <c r="AK6" s="29">
        <f>VLOOKUP(AG3,AE99:AF178,2,0)</f>
        <v>14860</v>
      </c>
      <c r="AL6" s="36">
        <f>VLOOKUP(AL5,AE99:AF178,2,0)</f>
        <v>16150</v>
      </c>
      <c r="AN6" s="29">
        <v>5</v>
      </c>
      <c r="AO6" s="29" t="s">
        <v>454</v>
      </c>
      <c r="AP6" s="29">
        <f>IF(AND((AN6&gt;AG7)),AH7,IF(AND((AN6&gt;AG6)),AH6,IF(AND((AN6&gt;=AG5)),AH5,AG3)))</f>
        <v>14860</v>
      </c>
      <c r="AQ6" s="29">
        <f>IF(AND((AN6&gt;AG6)),AI6,IF(AND((AN6&gt;AG7)),AI7,IF(AND((AN6&gt;=AG5)),AI5,AG3)))</f>
        <v>14860</v>
      </c>
      <c r="AR6" s="29">
        <f>IF(AND((AN6&gt;AG7)),AJ7,IF(AND((AN6&gt;=AG5)),AJ5,IF(AND((AN6&gt;AG6)),AJ6,AG3)))</f>
        <v>15280</v>
      </c>
      <c r="AS6" s="29">
        <f>IF(AND((AN6&gt;=AG5)),AK5,IF(AND((AN6&gt;AG7)),AK7,IF(AND((AN6&gt;AG6)),AK6,AG3)))</f>
        <v>16150</v>
      </c>
      <c r="AT6" s="29">
        <f>IF(AND((AN6&gt;AG6)),AL6,IF(AND((AN6&gt;=AG5)),AL5,IF(AND((AN6&gt;AG7)),AL7,AG3)))</f>
        <v>15700</v>
      </c>
      <c r="AZ6" s="29">
        <v>4</v>
      </c>
      <c r="BA6" s="34" t="s">
        <v>502</v>
      </c>
    </row>
    <row r="7" spans="1:53" ht="24" customHeight="1">
      <c r="A7" s="1"/>
      <c r="B7" s="295" t="s">
        <v>524</v>
      </c>
      <c r="C7" s="306"/>
      <c r="D7" s="391" t="s">
        <v>160</v>
      </c>
      <c r="E7" s="395"/>
      <c r="F7" s="395"/>
      <c r="G7" s="392"/>
      <c r="H7" s="304"/>
      <c r="I7" s="305"/>
      <c r="J7" s="291"/>
      <c r="K7" s="413" t="s">
        <v>480</v>
      </c>
      <c r="L7" s="414"/>
      <c r="M7" s="414"/>
      <c r="N7" s="415"/>
      <c r="O7" s="287"/>
      <c r="P7" s="288"/>
      <c r="Q7" s="4"/>
      <c r="AA7" s="29">
        <v>5</v>
      </c>
      <c r="AB7" s="29" t="s">
        <v>73</v>
      </c>
      <c r="AC7" s="29">
        <f>IF((Z2=1),"(English)","")</f>
      </c>
      <c r="AF7" s="29" t="s">
        <v>76</v>
      </c>
      <c r="AG7" s="29">
        <f>IF((U96=2),25,(W99+1))</f>
        <v>25</v>
      </c>
      <c r="AH7" s="29">
        <f>MAX(AF8,AG8)</f>
        <v>16150</v>
      </c>
      <c r="AI7" s="29">
        <f>MAX(AF9,AG8)</f>
        <v>15700</v>
      </c>
      <c r="AJ7" s="29">
        <f>MAX(AF10,AG8)</f>
        <v>16150</v>
      </c>
      <c r="AK7" s="29">
        <f>MAX(AF11,AG8)</f>
        <v>15700</v>
      </c>
      <c r="AL7" s="38">
        <f>MAX(AF12,AG8)</f>
        <v>15280</v>
      </c>
      <c r="AN7" s="29">
        <v>6</v>
      </c>
      <c r="AO7" s="29" t="s">
        <v>560</v>
      </c>
      <c r="AP7" s="29">
        <f>IF(AND((AN7&gt;AG7)),AH7,IF(AND((AN7&gt;AG6)),AH6,IF(AND((AN7&gt;=AG5)),AH5,AG3)))</f>
        <v>14860</v>
      </c>
      <c r="AQ7" s="29">
        <f>IF(AND((AN7&gt;AG6)),AI6,IF(AND((AN7&gt;AG7)),AI7,IF(AND((AN7&gt;=AG5)),AI5,AG3)))</f>
        <v>14860</v>
      </c>
      <c r="AR7" s="29">
        <f>IF(AND((AN7&gt;AG7)),AJ7,IF(AND((AN7&gt;=AG5)),AJ5,IF(AND((AN7&gt;AG6)),AJ6,AG3)))</f>
        <v>15280</v>
      </c>
      <c r="AS7" s="29">
        <f>IF(AND((AN7&gt;=AG5)),AK5,IF(AND((AN7&gt;AG7)),AK7,IF(AND((AN7&gt;AG6)),AK6,AG3)))</f>
        <v>16150</v>
      </c>
      <c r="AT7" s="29">
        <f>IF(AND((AN7&gt;AG6)),AL6,IF(AND((AN7&gt;=AG5)),AL5,IF(AND((AN7&gt;AG7)),AL7,AG3)))</f>
        <v>15700</v>
      </c>
      <c r="AZ7" s="29">
        <v>5</v>
      </c>
      <c r="BA7" s="34" t="s">
        <v>201</v>
      </c>
    </row>
    <row r="8" spans="1:53" ht="25.5" customHeight="1">
      <c r="A8" s="1"/>
      <c r="B8" s="294" t="s">
        <v>218</v>
      </c>
      <c r="C8" s="306"/>
      <c r="D8" s="416" t="s">
        <v>274</v>
      </c>
      <c r="E8" s="417"/>
      <c r="F8" s="417"/>
      <c r="G8" s="417"/>
      <c r="H8" s="417"/>
      <c r="I8" s="418"/>
      <c r="J8" s="303"/>
      <c r="K8" s="304" t="s">
        <v>496</v>
      </c>
      <c r="L8" s="302"/>
      <c r="M8" s="304"/>
      <c r="N8" s="312" t="s">
        <v>212</v>
      </c>
      <c r="O8" s="304"/>
      <c r="P8" s="291"/>
      <c r="Q8" s="4"/>
      <c r="AA8" s="29">
        <v>6</v>
      </c>
      <c r="AB8" s="29" t="s">
        <v>321</v>
      </c>
      <c r="AC8" s="29">
        <f>IF((Z2=1),"(Maths)","")</f>
      </c>
      <c r="AF8" s="29">
        <f>IF((T117=2),VLOOKUP(AH6,AE99:AG178,2,0),VLOOKUP(AH6,AE99:AG178,3,0))</f>
        <v>16150</v>
      </c>
      <c r="AG8" s="29">
        <f>IF((Z2=5),18030,IF((Z2=1),14860,IF((Z2=6),14860,0)))</f>
        <v>0</v>
      </c>
      <c r="AH8" s="29">
        <f>IF(AND((AG5&lt;=AG6),(AG7&lt;=AG6)),2,IF(AND((AG5&lt;=AG6),(AG5&lt;=AG7)),1,IF(AND((AG6&lt;AG5),(AG7&lt;AG5)),4,IF(AND((AG6&lt;AG5),(AG6&lt;=AG7)),3,IF(AND((AG7&lt;AG5),(AG5&lt;=AG6)),5)))))</f>
        <v>2</v>
      </c>
      <c r="AJ8" s="39"/>
      <c r="AN8" s="29">
        <v>7</v>
      </c>
      <c r="AO8" s="29" t="s">
        <v>399</v>
      </c>
      <c r="AP8" s="29">
        <f>IF(AND((AN8&gt;AG7)),AH7,IF(AND((AN8&gt;AG6)),AH6,IF(AND((AN8&gt;=AG5)),AH5,AG3)))</f>
        <v>14860</v>
      </c>
      <c r="AQ8" s="29">
        <f>IF(AND((AN8&gt;AG6)),AI6,IF(AND((AN8&gt;AG7)),AI7,IF(AND((AN8&gt;=AG5)),AI5,AG3)))</f>
        <v>14860</v>
      </c>
      <c r="AR8" s="29">
        <f>IF(AND((AN8&gt;AG7)),AJ7,IF(AND((AN8&gt;=AG5)),AJ5,IF(AND((AN8&gt;AG6)),AJ6,AG3)))</f>
        <v>15280</v>
      </c>
      <c r="AS8" s="29">
        <f>IF(AND((AN8&gt;=AG5)),AK5,IF(AND((AN8&gt;AG7)),AK7,IF(AND((AN8&gt;AG6)),AK6,AG3)))</f>
        <v>16150</v>
      </c>
      <c r="AT8" s="29">
        <f>IF(AND((AN8&gt;AG6)),AL6,IF(AND((AN8&gt;=AG5)),AL5,IF(AND((AN8&gt;AG7)),AL7,AG3)))</f>
        <v>15700</v>
      </c>
      <c r="AZ8" s="29">
        <v>6</v>
      </c>
      <c r="BA8" s="34" t="s">
        <v>192</v>
      </c>
    </row>
    <row r="9" spans="1:53" ht="24" customHeight="1">
      <c r="A9" s="1"/>
      <c r="B9" s="294" t="s">
        <v>385</v>
      </c>
      <c r="C9" s="307">
        <v>0</v>
      </c>
      <c r="D9" s="401" t="s">
        <v>29</v>
      </c>
      <c r="E9" s="402"/>
      <c r="F9" s="402"/>
      <c r="G9" s="403"/>
      <c r="H9" s="354"/>
      <c r="I9" s="355"/>
      <c r="J9" s="391" t="s">
        <v>17</v>
      </c>
      <c r="K9" s="392"/>
      <c r="L9" s="303">
        <v>0</v>
      </c>
      <c r="M9" s="404" t="s">
        <v>301</v>
      </c>
      <c r="N9" s="405"/>
      <c r="O9" s="406"/>
      <c r="P9" s="303">
        <v>0</v>
      </c>
      <c r="Q9" s="4"/>
      <c r="AA9" s="29">
        <v>7</v>
      </c>
      <c r="AB9" s="29" t="s">
        <v>492</v>
      </c>
      <c r="AC9" s="29">
        <f>IF((Z2=1),"(Phy.Sci.)","")</f>
      </c>
      <c r="AF9" s="29">
        <f>IF((T117=2),VLOOKUP(AI5,AE99:AG178,2,0),VLOOKUP(AI5,AE99:AG178,3,0))</f>
        <v>15700</v>
      </c>
      <c r="AJ9" s="39"/>
      <c r="AN9" s="29">
        <v>8</v>
      </c>
      <c r="AO9" s="29" t="s">
        <v>47</v>
      </c>
      <c r="AP9" s="29">
        <f>IF(AND((AN9&gt;AG7)),AH7,IF(AND((AN9&gt;AG6)),AH6,IF(AND((AN9&gt;=AG5)),AH5,AG3)))</f>
        <v>14860</v>
      </c>
      <c r="AQ9" s="29">
        <f>IF(AND((AN9&gt;AG6)),AI6,IF(AND((AN9&gt;AG7)),AI7,IF(AND((AN9&gt;=AG5)),AI5,AG3)))</f>
        <v>14860</v>
      </c>
      <c r="AR9" s="29">
        <f>IF(AND((AN9&gt;AG7)),AJ7,IF(AND((AN9&gt;=AG5)),AJ5,IF(AND((AN9&gt;AG6)),AJ6,AG3)))</f>
        <v>15280</v>
      </c>
      <c r="AS9" s="29">
        <f>IF(AND((AN9&gt;=AG5)),AK5,IF(AND((AN9&gt;AG7)),AK7,IF(AND((AN9&gt;AG6)),AK6,AG3)))</f>
        <v>16150</v>
      </c>
      <c r="AT9" s="29">
        <f>IF(AND((AN9&gt;AG6)),AL6,IF(AND((AN9&gt;=AG5)),AL5,IF(AND((AN9&gt;AG7)),AL7,AG3)))</f>
        <v>15700</v>
      </c>
      <c r="AZ9" s="29">
        <v>7</v>
      </c>
      <c r="BA9" s="34" t="s">
        <v>242</v>
      </c>
    </row>
    <row r="10" spans="1:53" ht="26.25" customHeight="1">
      <c r="A10" s="1"/>
      <c r="B10" s="407" t="s">
        <v>384</v>
      </c>
      <c r="C10" s="408"/>
      <c r="D10" s="391">
        <v>2880</v>
      </c>
      <c r="E10" s="392"/>
      <c r="F10" s="409" t="s">
        <v>559</v>
      </c>
      <c r="G10" s="410"/>
      <c r="H10" s="411"/>
      <c r="I10" s="391">
        <v>8509</v>
      </c>
      <c r="J10" s="392"/>
      <c r="K10" s="409" t="s">
        <v>23</v>
      </c>
      <c r="L10" s="410"/>
      <c r="M10" s="410"/>
      <c r="N10" s="411"/>
      <c r="O10" s="391"/>
      <c r="P10" s="392"/>
      <c r="Q10" s="4"/>
      <c r="AA10" s="29">
        <v>8</v>
      </c>
      <c r="AB10" s="29" t="s">
        <v>199</v>
      </c>
      <c r="AC10" s="29">
        <f>IF((Z2=1),"(Bio.Sci.)","")</f>
      </c>
      <c r="AF10" s="29">
        <f>IF((T117=2),VLOOKUP(AJ5,AE99:AG178,2,0),VLOOKUP(AJ5,AE99:AG178,3,0))</f>
        <v>16150</v>
      </c>
      <c r="AJ10" s="39"/>
      <c r="AN10" s="29">
        <v>9</v>
      </c>
      <c r="AO10" s="29" t="s">
        <v>485</v>
      </c>
      <c r="AP10" s="29">
        <f>IF(AND((AN10&gt;AG7)),AH7,IF(AND((AN10&gt;AG6)),AH6,IF(AND((AN10&gt;=AG5)),AH5,AG3)))</f>
        <v>14860</v>
      </c>
      <c r="AQ10" s="29">
        <f>IF(AND((AN10&gt;AG6)),AI6,IF(AND((AN10&gt;AG7)),AI7,IF(AND((AN10&gt;=AG5)),AI5,AG3)))</f>
        <v>14860</v>
      </c>
      <c r="AR10" s="29">
        <f>IF(AND((AN10&gt;AG7)),AJ7,IF(AND((AN10&gt;=AG5)),AJ5,IF(AND((AN10&gt;AG6)),AJ6,AG3)))</f>
        <v>15280</v>
      </c>
      <c r="AS10" s="29">
        <f>IF(AND((AN10&gt;=AG5)),AK5,IF(AND((AN10&gt;AG7)),AK7,IF(AND((AN10&gt;AG6)),AK6,AG3)))</f>
        <v>16150</v>
      </c>
      <c r="AT10" s="29">
        <f>IF(AND((AN10&gt;AG6)),AL6,IF(AND((AN10&gt;=AG5)),AL5,IF(AND((AN10&gt;AG7)),AL7,AG3)))</f>
        <v>15700</v>
      </c>
      <c r="AZ10" s="29">
        <v>8</v>
      </c>
      <c r="BA10" s="34" t="s">
        <v>21</v>
      </c>
    </row>
    <row r="11" spans="1:53" ht="26.25" customHeight="1">
      <c r="A11" s="1"/>
      <c r="B11" s="296" t="s">
        <v>363</v>
      </c>
      <c r="C11" s="394"/>
      <c r="D11" s="394"/>
      <c r="E11" s="309" t="s">
        <v>522</v>
      </c>
      <c r="F11" s="391" t="s">
        <v>578</v>
      </c>
      <c r="G11" s="395"/>
      <c r="H11" s="395"/>
      <c r="I11" s="392"/>
      <c r="J11" s="396" t="s">
        <v>296</v>
      </c>
      <c r="K11" s="397"/>
      <c r="L11" s="398" t="s">
        <v>579</v>
      </c>
      <c r="M11" s="399"/>
      <c r="N11" s="399"/>
      <c r="O11" s="399"/>
      <c r="P11" s="400"/>
      <c r="Q11" s="299" t="s">
        <v>569</v>
      </c>
      <c r="AA11" s="29">
        <v>9</v>
      </c>
      <c r="AB11" s="29" t="s">
        <v>344</v>
      </c>
      <c r="AC11" s="29">
        <f>IF((Z2=1),"(Social)","")</f>
      </c>
      <c r="AF11" s="29">
        <f>IF((T117=2),VLOOKUP(AK6,AE99:AG178,2,0),VLOOKUP(AK6,AE99:AG178,3,0))</f>
        <v>15700</v>
      </c>
      <c r="AJ11" s="39"/>
      <c r="AN11" s="29">
        <v>10</v>
      </c>
      <c r="AO11" s="29" t="s">
        <v>238</v>
      </c>
      <c r="AP11" s="29">
        <f>IF(AND((AN11&gt;AG7)),AH7,IF(AND((AN11&gt;AG6)),AH6,IF(AND((AN11&gt;=AG5)),AH5,AG3)))</f>
        <v>14860</v>
      </c>
      <c r="AQ11" s="29">
        <f>IF(AND((AN11&gt;AG6)),AI6,IF(AND((AN11&gt;AG7)),AI7,IF(AND((AN11&gt;=AG5)),AI5,AG3)))</f>
        <v>14860</v>
      </c>
      <c r="AR11" s="29">
        <f>IF(AND((AN11&gt;AG7)),AJ7,IF(AND((AN11&gt;=AG5)),AJ5,IF(AND((AN11&gt;AG6)),AJ6,AG3)))</f>
        <v>15280</v>
      </c>
      <c r="AS11" s="29">
        <f>IF(AND((AN11&gt;=AG5)),AK5,IF(AND((AN11&gt;AG7)),AK7,IF(AND((AN11&gt;AG6)),AK6,AG3)))</f>
        <v>16150</v>
      </c>
      <c r="AT11" s="29">
        <f>IF(AND((AN11&gt;AG6)),AL6,IF(AND((AN11&gt;=AG5)),AL5,IF(AND((AN11&gt;AG7)),AL7,AG3)))</f>
        <v>15700</v>
      </c>
      <c r="AZ11" s="29">
        <v>9</v>
      </c>
      <c r="BA11" s="34" t="s">
        <v>557</v>
      </c>
    </row>
    <row r="12" spans="1:53" ht="26.25" customHeight="1">
      <c r="A12" s="1"/>
      <c r="B12" s="297" t="s">
        <v>255</v>
      </c>
      <c r="C12" s="391">
        <v>300</v>
      </c>
      <c r="D12" s="392"/>
      <c r="E12" s="391" t="s">
        <v>274</v>
      </c>
      <c r="F12" s="395"/>
      <c r="G12" s="395"/>
      <c r="H12" s="395"/>
      <c r="I12" s="392"/>
      <c r="J12" s="289"/>
      <c r="K12" s="291"/>
      <c r="L12" s="383" t="s">
        <v>517</v>
      </c>
      <c r="M12" s="384"/>
      <c r="N12" s="385"/>
      <c r="O12" s="391">
        <v>900</v>
      </c>
      <c r="P12" s="392"/>
      <c r="Q12" s="4"/>
      <c r="AA12" s="29">
        <v>10</v>
      </c>
      <c r="AC12" s="29">
        <f>IF((Z2=1),"(Phy.Edn)","")</f>
      </c>
      <c r="AF12" s="29">
        <f>IF((T117=2),VLOOKUP(AG3,AE99:AG178,2,0),VLOOKUP(AG3,AE99:AG178,3,0))</f>
        <v>15280</v>
      </c>
      <c r="AJ12" s="39"/>
      <c r="AN12" s="29">
        <v>11</v>
      </c>
      <c r="AO12" s="29" t="s">
        <v>352</v>
      </c>
      <c r="AP12" s="29">
        <f>IF(AND((AN12&gt;AG7)),AH7,IF(AND((AN12&gt;AG6)),AH6,IF(AND((AN12&gt;=AG5)),AH5,AG3)))</f>
        <v>14860</v>
      </c>
      <c r="AQ12" s="29">
        <f>IF(AND((AN12&gt;AG6)),AI6,IF(AND((AN12&gt;AG7)),AI7,IF(AND((AN12&gt;=AG5)),AI5,AG3)))</f>
        <v>14860</v>
      </c>
      <c r="AR12" s="29">
        <f>IF(AND((AN12&gt;AG7)),AJ7,IF(AND((AN12&gt;=AG5)),AJ5,IF(AND((AN12&gt;AG6)),AJ6,AG3)))</f>
        <v>15280</v>
      </c>
      <c r="AS12" s="29">
        <f>IF(AND((AN12&gt;=AG5)),AK5,IF(AND((AN12&gt;AG7)),AK7,IF(AND((AN12&gt;AG6)),AK6,AG3)))</f>
        <v>16150</v>
      </c>
      <c r="AT12" s="29">
        <f>IF(AND((AN12&gt;AG6)),AL6,IF(AND((AN12&gt;=AG5)),AL5,IF(AND((AN12&gt;AG7)),AL7,AG3)))</f>
        <v>15700</v>
      </c>
      <c r="AZ12" s="29">
        <v>10</v>
      </c>
      <c r="BA12" s="34" t="s">
        <v>575</v>
      </c>
    </row>
    <row r="13" spans="1:53" ht="26.25" customHeight="1">
      <c r="A13" s="1"/>
      <c r="B13" s="297" t="s">
        <v>495</v>
      </c>
      <c r="C13" s="381" t="s">
        <v>577</v>
      </c>
      <c r="D13" s="382"/>
      <c r="E13" s="313" t="s">
        <v>136</v>
      </c>
      <c r="F13" s="310"/>
      <c r="G13" s="303">
        <v>200</v>
      </c>
      <c r="H13" s="383" t="s">
        <v>374</v>
      </c>
      <c r="I13" s="384"/>
      <c r="J13" s="384"/>
      <c r="K13" s="385"/>
      <c r="L13" s="304"/>
      <c r="M13" s="302"/>
      <c r="N13" s="386" t="s">
        <v>551</v>
      </c>
      <c r="O13" s="387"/>
      <c r="P13" s="303">
        <v>450</v>
      </c>
      <c r="Q13" s="4"/>
      <c r="AA13" s="29">
        <v>11</v>
      </c>
      <c r="AD13" s="5"/>
      <c r="AE13" s="5"/>
      <c r="AJ13" s="39"/>
      <c r="AN13" s="29">
        <v>12</v>
      </c>
      <c r="AO13" s="29" t="s">
        <v>81</v>
      </c>
      <c r="AP13" s="29">
        <f>IF(AND((AN13&gt;AG7)),AH7,IF(AND((AN13&gt;AG6)),AH6,IF(AND((AN13&gt;=AG5)),AH5,AG3)))</f>
        <v>14860</v>
      </c>
      <c r="AQ13" s="29">
        <f>IF(AND((AN13&gt;AG6)),AI6,IF(AND((AN13&gt;AG7)),AI7,IF(AND((AN13&gt;=AG5)),AI5,AG3)))</f>
        <v>14860</v>
      </c>
      <c r="AR13" s="29">
        <f>IF(AND((AN13&gt;AG7)),AJ7,IF(AND((AN13&gt;=AG5)),AJ5,IF(AND((AN13&gt;AG6)),AJ6,AG3)))</f>
        <v>15280</v>
      </c>
      <c r="AS13" s="29">
        <f>IF(AND((AN13&gt;AG5)),AK5,IF(AND((AN13&gt;AG7)),AK7,IF(AND((AN13&gt;AG6)),AK6,AG3)))</f>
        <v>16150</v>
      </c>
      <c r="AT13" s="29">
        <f>IF(AND((AN13&gt;AG6)),AL6,IF(AND((AN13&gt;=AG5)),AL5,IF(AND((AN13&gt;AG7)),AL7,AG3)))</f>
        <v>15700</v>
      </c>
      <c r="AZ13" s="29">
        <v>1</v>
      </c>
      <c r="BA13" s="29" t="str">
        <f>VLOOKUP(AZ13,AZ3:BA12,2,)</f>
        <v>Children Tution Fee </v>
      </c>
    </row>
    <row r="14" spans="1:53" ht="24.75" customHeight="1">
      <c r="A14" s="1"/>
      <c r="B14" s="388" t="s">
        <v>453</v>
      </c>
      <c r="C14" s="389"/>
      <c r="D14" s="390"/>
      <c r="E14" s="311">
        <v>0</v>
      </c>
      <c r="F14" s="303" t="s">
        <v>110</v>
      </c>
      <c r="G14" s="288"/>
      <c r="H14" s="391" t="s">
        <v>133</v>
      </c>
      <c r="I14" s="392"/>
      <c r="J14" s="289"/>
      <c r="K14" s="292"/>
      <c r="L14" s="393" t="str">
        <f>P85</f>
        <v>Don't Enter Rent it's Calaculate Atomatically</v>
      </c>
      <c r="M14" s="393"/>
      <c r="N14" s="393"/>
      <c r="O14" s="387"/>
      <c r="P14" s="303">
        <f>IF((M85=1),"",P95)</f>
        <v>3800</v>
      </c>
      <c r="Q14" s="4"/>
      <c r="AA14" s="29">
        <v>12</v>
      </c>
      <c r="AC14" s="1"/>
      <c r="AD14" s="43"/>
      <c r="AE14" s="44"/>
      <c r="AF14" s="4"/>
      <c r="AN14" s="29">
        <v>13</v>
      </c>
      <c r="AO14" s="29" t="s">
        <v>327</v>
      </c>
      <c r="AP14" s="29">
        <f>IF(AND((AN14&gt;AG7)),AH7,IF(AND((AN14&gt;AG6)),AH6,IF(AND((AN14&gt;=AG5)),AH5,AG3)))</f>
        <v>14860</v>
      </c>
      <c r="AQ14" s="29">
        <f>IF(AND((AN14&gt;AG6)),AI6,IF(AND((AN14&gt;AG7)),AI7,IF(AND((AN14&gt;=AG5)),AI5,AG3)))</f>
        <v>14860</v>
      </c>
      <c r="AR14" s="29">
        <f>IF(AND((AN14&gt;AG7)),AJ7,IF(AND((AN14&gt;=AG5)),AJ5,IF(AND((AN14&gt;AG6)),AJ6,AG3)))</f>
        <v>15280</v>
      </c>
      <c r="AS14" s="29">
        <f>IF(AND((AN14&gt;=AG5)),AK5,IF(AND((AN14&gt;AG7)),AK7,IF(AND((AN14&gt;AG6)),AK6,AG3)))</f>
        <v>16150</v>
      </c>
      <c r="AT14" s="29">
        <f>IF(AND((AN14&gt;AG6)),AL6,IF(AND((AN14&gt;=AG5)),AL5,IF(AND((AN14&gt;AG7)),AL7,AG3)))</f>
        <v>15700</v>
      </c>
      <c r="AZ14" s="29">
        <v>2</v>
      </c>
      <c r="BA14" s="29" t="str">
        <f>VLOOKUP(AZ14,AZ3:BA12,2,)</f>
        <v>Repayement of Home Loan Premium</v>
      </c>
    </row>
    <row r="15" spans="1:53" ht="26.25" customHeight="1">
      <c r="A15" s="1"/>
      <c r="B15" s="360" t="s">
        <v>494</v>
      </c>
      <c r="C15" s="361"/>
      <c r="D15" s="362"/>
      <c r="E15" s="356">
        <v>31500</v>
      </c>
      <c r="F15" s="358"/>
      <c r="G15" s="376" t="s">
        <v>256</v>
      </c>
      <c r="H15" s="377"/>
      <c r="I15" s="377"/>
      <c r="J15" s="377"/>
      <c r="K15" s="378"/>
      <c r="L15" s="46" t="s">
        <v>494</v>
      </c>
      <c r="M15" s="356">
        <v>0</v>
      </c>
      <c r="N15" s="358"/>
      <c r="O15" s="379" t="s">
        <v>205</v>
      </c>
      <c r="P15" s="380"/>
      <c r="Q15" s="4"/>
      <c r="AA15" s="29">
        <v>13</v>
      </c>
      <c r="AC15" s="1"/>
      <c r="AD15" s="47">
        <v>2</v>
      </c>
      <c r="AE15" s="48">
        <f>VLOOKUP(AD15,AD16:AE19,2,90)</f>
        <v>30</v>
      </c>
      <c r="AF15" s="4"/>
      <c r="AZ15" s="29">
        <v>4</v>
      </c>
      <c r="BA15" s="29" t="str">
        <f>VLOOKUP(AZ15,AZ3:BA12,2,)</f>
        <v>LIC Annual Premiums Paid by Hand</v>
      </c>
    </row>
    <row r="16" spans="1:53" ht="26.25" customHeight="1">
      <c r="A16" s="1"/>
      <c r="B16" s="360" t="s">
        <v>494</v>
      </c>
      <c r="C16" s="361"/>
      <c r="D16" s="362"/>
      <c r="E16" s="356">
        <v>0</v>
      </c>
      <c r="F16" s="358"/>
      <c r="G16" s="376" t="s">
        <v>401</v>
      </c>
      <c r="H16" s="377"/>
      <c r="I16" s="377"/>
      <c r="J16" s="377"/>
      <c r="K16" s="378"/>
      <c r="L16" s="46" t="s">
        <v>494</v>
      </c>
      <c r="M16" s="356">
        <v>0</v>
      </c>
      <c r="N16" s="358"/>
      <c r="O16" s="30" t="s">
        <v>372</v>
      </c>
      <c r="P16" s="35">
        <v>0</v>
      </c>
      <c r="Q16" s="4"/>
      <c r="AC16" s="1"/>
      <c r="AD16" s="47">
        <v>1</v>
      </c>
      <c r="AE16" s="48">
        <v>15</v>
      </c>
      <c r="AF16" s="4"/>
      <c r="AZ16" s="29">
        <v>5</v>
      </c>
      <c r="BA16" s="29" t="str">
        <f>VLOOKUP(AZ16,AZ3:BA12,2,)</f>
        <v>PLI Annual Premuim</v>
      </c>
    </row>
    <row r="17" spans="1:53" ht="26.25" customHeight="1">
      <c r="A17" s="1"/>
      <c r="B17" s="360" t="s">
        <v>494</v>
      </c>
      <c r="C17" s="361"/>
      <c r="D17" s="362"/>
      <c r="E17" s="356">
        <v>22000</v>
      </c>
      <c r="F17" s="358"/>
      <c r="G17" s="373" t="s">
        <v>481</v>
      </c>
      <c r="H17" s="374"/>
      <c r="I17" s="374"/>
      <c r="J17" s="374"/>
      <c r="K17" s="375"/>
      <c r="L17" s="46" t="s">
        <v>494</v>
      </c>
      <c r="M17" s="356">
        <v>0</v>
      </c>
      <c r="N17" s="358"/>
      <c r="O17" s="30" t="s">
        <v>269</v>
      </c>
      <c r="P17" s="35">
        <v>0</v>
      </c>
      <c r="Q17" s="4"/>
      <c r="AC17" s="1"/>
      <c r="AD17" s="47">
        <v>2</v>
      </c>
      <c r="AE17" s="48">
        <v>30</v>
      </c>
      <c r="AF17" s="4"/>
      <c r="AZ17" s="29">
        <v>10</v>
      </c>
      <c r="BA17" s="29" t="str">
        <f>VLOOKUP(AZ17,AZ3:BA12,2,)</f>
        <v>Infra structure Bonds under section 80CCF </v>
      </c>
    </row>
    <row r="18" spans="1:53" ht="26.25" customHeight="1">
      <c r="A18" s="1"/>
      <c r="B18" s="360" t="s">
        <v>494</v>
      </c>
      <c r="C18" s="361"/>
      <c r="D18" s="362"/>
      <c r="E18" s="356">
        <v>0</v>
      </c>
      <c r="F18" s="358"/>
      <c r="G18" s="376" t="s">
        <v>527</v>
      </c>
      <c r="H18" s="377"/>
      <c r="I18" s="377"/>
      <c r="J18" s="377"/>
      <c r="K18" s="378"/>
      <c r="L18" s="46" t="s">
        <v>494</v>
      </c>
      <c r="M18" s="356">
        <v>0</v>
      </c>
      <c r="N18" s="358"/>
      <c r="O18" s="30" t="s">
        <v>283</v>
      </c>
      <c r="P18" s="35">
        <v>0</v>
      </c>
      <c r="Q18" s="4"/>
      <c r="AA18" s="29">
        <v>1</v>
      </c>
      <c r="AB18" s="29" t="str">
        <f>VLOOKUP(AA18,AA19:AB21,2,0)</f>
        <v>Sri.</v>
      </c>
      <c r="AC18" s="1"/>
      <c r="AD18" s="47">
        <v>3</v>
      </c>
      <c r="AE18" s="48">
        <v>60</v>
      </c>
      <c r="AF18" s="4"/>
      <c r="AZ18" s="29">
        <v>6</v>
      </c>
      <c r="BA18" s="29" t="str">
        <f>VLOOKUP(AZ18,AZ3:BA12,2,)</f>
        <v>Unit Linked Insurance Plan</v>
      </c>
    </row>
    <row r="19" spans="1:32" ht="26.25" customHeight="1">
      <c r="A19" s="1"/>
      <c r="B19" s="360" t="s">
        <v>494</v>
      </c>
      <c r="C19" s="361"/>
      <c r="D19" s="362"/>
      <c r="E19" s="356">
        <v>0</v>
      </c>
      <c r="F19" s="358"/>
      <c r="G19" s="363"/>
      <c r="H19" s="364"/>
      <c r="I19" s="364"/>
      <c r="J19" s="364"/>
      <c r="K19" s="365"/>
      <c r="L19" s="46" t="s">
        <v>494</v>
      </c>
      <c r="M19" s="356"/>
      <c r="N19" s="358"/>
      <c r="O19" s="30" t="s">
        <v>454</v>
      </c>
      <c r="P19" s="35">
        <v>0</v>
      </c>
      <c r="Q19" s="4"/>
      <c r="AA19" s="29">
        <v>1</v>
      </c>
      <c r="AB19" s="29" t="s">
        <v>20</v>
      </c>
      <c r="AC19" s="1"/>
      <c r="AD19" s="49">
        <v>4</v>
      </c>
      <c r="AE19" s="50">
        <v>120</v>
      </c>
      <c r="AF19" s="4"/>
    </row>
    <row r="20" spans="1:31" ht="26.25" customHeight="1">
      <c r="A20" s="1"/>
      <c r="B20" s="360" t="s">
        <v>494</v>
      </c>
      <c r="C20" s="361"/>
      <c r="D20" s="362"/>
      <c r="E20" s="356">
        <v>0</v>
      </c>
      <c r="F20" s="358"/>
      <c r="G20" s="363"/>
      <c r="H20" s="364"/>
      <c r="I20" s="364"/>
      <c r="J20" s="364"/>
      <c r="K20" s="365"/>
      <c r="L20" s="46" t="s">
        <v>494</v>
      </c>
      <c r="M20" s="356"/>
      <c r="N20" s="358"/>
      <c r="O20" s="30" t="s">
        <v>560</v>
      </c>
      <c r="P20" s="35">
        <v>0</v>
      </c>
      <c r="Q20" s="4"/>
      <c r="AA20" s="29">
        <v>2</v>
      </c>
      <c r="AB20" s="29" t="s">
        <v>74</v>
      </c>
      <c r="AD20" s="20"/>
      <c r="AE20" s="20"/>
    </row>
    <row r="21" spans="1:194" ht="26.25" customHeight="1">
      <c r="A21" s="51"/>
      <c r="B21" s="368" t="s">
        <v>574</v>
      </c>
      <c r="C21" s="369"/>
      <c r="D21" s="52" t="s">
        <v>190</v>
      </c>
      <c r="E21" s="356">
        <v>0</v>
      </c>
      <c r="F21" s="358"/>
      <c r="G21" s="363"/>
      <c r="H21" s="364"/>
      <c r="I21" s="364"/>
      <c r="J21" s="364"/>
      <c r="K21" s="365"/>
      <c r="L21" s="46" t="s">
        <v>494</v>
      </c>
      <c r="M21" s="356"/>
      <c r="N21" s="358"/>
      <c r="O21" s="30" t="s">
        <v>399</v>
      </c>
      <c r="P21" s="35">
        <v>0</v>
      </c>
      <c r="Q21" s="53"/>
      <c r="R21" s="54"/>
      <c r="S21" s="54"/>
      <c r="T21" s="54"/>
      <c r="U21" s="54"/>
      <c r="V21" s="54"/>
      <c r="W21" s="54"/>
      <c r="X21" s="54"/>
      <c r="Y21" s="54"/>
      <c r="Z21" s="54"/>
      <c r="AA21" s="29">
        <v>3</v>
      </c>
      <c r="AB21" s="29" t="s">
        <v>4</v>
      </c>
      <c r="AC21" s="54"/>
      <c r="AD21" s="54"/>
      <c r="AE21" s="54"/>
      <c r="AF21" s="29"/>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row>
    <row r="22" spans="1:38" ht="26.25" customHeight="1">
      <c r="A22" s="55"/>
      <c r="B22" s="32"/>
      <c r="C22" s="32"/>
      <c r="D22" s="32"/>
      <c r="E22" s="32"/>
      <c r="F22" s="45"/>
      <c r="G22" s="78"/>
      <c r="H22" s="78"/>
      <c r="I22" s="78"/>
      <c r="J22" s="78"/>
      <c r="K22" s="78"/>
      <c r="L22" s="78"/>
      <c r="M22" s="78"/>
      <c r="N22" s="57"/>
      <c r="O22" s="30" t="s">
        <v>47</v>
      </c>
      <c r="P22" s="35">
        <v>0</v>
      </c>
      <c r="Q22" s="4"/>
      <c r="AE22" s="29"/>
      <c r="AF22" s="29"/>
      <c r="AG22" s="29"/>
      <c r="AH22" s="29"/>
      <c r="AI22" s="29"/>
      <c r="AJ22" s="29"/>
      <c r="AK22" s="29"/>
      <c r="AL22" s="29"/>
    </row>
    <row r="23" spans="1:43" ht="27">
      <c r="A23" s="58"/>
      <c r="B23" s="30" t="s">
        <v>262</v>
      </c>
      <c r="C23" s="370" t="s">
        <v>594</v>
      </c>
      <c r="D23" s="371"/>
      <c r="E23" s="371"/>
      <c r="F23" s="372"/>
      <c r="G23" s="262" t="s">
        <v>581</v>
      </c>
      <c r="H23" s="262"/>
      <c r="I23" s="262"/>
      <c r="J23" s="262"/>
      <c r="K23" s="262"/>
      <c r="L23" s="262"/>
      <c r="M23" s="262"/>
      <c r="N23" s="60"/>
      <c r="O23" s="30" t="s">
        <v>485</v>
      </c>
      <c r="P23" s="35">
        <v>0</v>
      </c>
      <c r="Q23" s="4"/>
      <c r="AE23" s="29"/>
      <c r="AF23" s="29"/>
      <c r="AG23" s="61"/>
      <c r="AH23" s="62"/>
      <c r="AI23" s="63"/>
      <c r="AJ23" s="63"/>
      <c r="AK23" s="64"/>
      <c r="AL23" s="64"/>
      <c r="AN23" s="29">
        <v>2</v>
      </c>
      <c r="AO23" s="29" t="s">
        <v>428</v>
      </c>
      <c r="AP23" s="29">
        <f>IF(AND((AH8=1)),VLOOKUP(AN23,AN3:AT14,3,0),IF(AND((AH8=2)),VLOOKUP(AN23,AN3:AT14,4,0),IF(AND((AH8=3)),VLOOKUP(AN23,AN3:AT14,5,0),IF(AND((AH8=4)),VLOOKUP(AN23,AN3:AT14,6,0),IF(AND((AH8=5)),VLOOKUP(AN23,AN3:AT14,7,0))))))</f>
        <v>14440</v>
      </c>
      <c r="AQ23" s="29">
        <v>9.416</v>
      </c>
    </row>
    <row r="24" spans="1:43" ht="27">
      <c r="A24" s="58"/>
      <c r="B24" s="30" t="s">
        <v>334</v>
      </c>
      <c r="C24" s="370" t="s">
        <v>593</v>
      </c>
      <c r="D24" s="371"/>
      <c r="E24" s="371"/>
      <c r="F24" s="372"/>
      <c r="G24" s="262"/>
      <c r="H24" s="262"/>
      <c r="I24" s="262"/>
      <c r="J24" s="262"/>
      <c r="K24" s="262"/>
      <c r="L24" s="262"/>
      <c r="M24" s="262"/>
      <c r="N24" s="60"/>
      <c r="O24" s="30" t="s">
        <v>238</v>
      </c>
      <c r="P24" s="35">
        <v>0</v>
      </c>
      <c r="Q24" s="4"/>
      <c r="AA24" s="29">
        <v>2</v>
      </c>
      <c r="AB24" s="29" t="str">
        <f>VLOOKUP(AA24,AA25:AB43,2,0)</f>
        <v>ZP GPF</v>
      </c>
      <c r="AE24" s="29"/>
      <c r="AF24" s="29"/>
      <c r="AG24" s="61"/>
      <c r="AH24" s="62"/>
      <c r="AI24" s="63"/>
      <c r="AJ24" s="63"/>
      <c r="AK24" s="64"/>
      <c r="AL24" s="64"/>
      <c r="AN24" s="29">
        <v>3</v>
      </c>
      <c r="AO24" s="29" t="s">
        <v>489</v>
      </c>
      <c r="AP24" s="29">
        <f>IF(AND((AH8=1)),VLOOKUP(AN24,AN3:AT14,3,0),IF(AND((AH8=2)),VLOOKUP(AN24,AN3:AT14,4,0),IF(AND((AH8=3)),VLOOKUP(AN24,AN3:AT14,5,0),IF(AND((AH8=4)),VLOOKUP(AN24,AN3:AT14,6,0),IF(AND((AH8=5)),VLOOKUP(AN24,AN3:AT14,7,0))))))</f>
        <v>14440</v>
      </c>
      <c r="AQ24" s="29">
        <v>9.416</v>
      </c>
    </row>
    <row r="25" spans="1:43" ht="27">
      <c r="A25" s="58"/>
      <c r="B25" s="30" t="s">
        <v>405</v>
      </c>
      <c r="C25" s="356" t="s">
        <v>580</v>
      </c>
      <c r="D25" s="357"/>
      <c r="E25" s="357"/>
      <c r="F25" s="358"/>
      <c r="G25" s="81"/>
      <c r="H25" s="81"/>
      <c r="I25" s="81"/>
      <c r="J25" s="81"/>
      <c r="K25" s="81"/>
      <c r="L25" s="81"/>
      <c r="M25" s="81"/>
      <c r="N25" s="60"/>
      <c r="O25" s="30" t="s">
        <v>352</v>
      </c>
      <c r="P25" s="35">
        <v>0</v>
      </c>
      <c r="Q25" s="4"/>
      <c r="AA25" s="65">
        <v>1</v>
      </c>
      <c r="AB25" s="29" t="s">
        <v>39</v>
      </c>
      <c r="AE25" s="29"/>
      <c r="AF25" s="29"/>
      <c r="AG25" s="61"/>
      <c r="AH25" s="62"/>
      <c r="AI25" s="63"/>
      <c r="AJ25" s="63"/>
      <c r="AK25" s="64"/>
      <c r="AL25" s="64"/>
      <c r="AN25" s="29">
        <v>4</v>
      </c>
      <c r="AO25" s="29" t="s">
        <v>283</v>
      </c>
      <c r="AP25" s="29">
        <f>IF(AND((AH8=1)),VLOOKUP(AN25,AN3:AT14,3,0),IF(AND((AH8=2)),VLOOKUP(AN25,AN3:AT14,4,0),IF(AND((AH8=3)),VLOOKUP(AN25,AN3:AT14,5,0),IF(AND((AH8=4)),VLOOKUP(AN25,AN3:AT14,6,0),IF(AND((AH8=5)),VLOOKUP(AN25,AN3:AT14,7,0))))))</f>
        <v>14860</v>
      </c>
      <c r="AQ25" s="29">
        <v>9.416</v>
      </c>
    </row>
    <row r="26" spans="1:43" ht="27">
      <c r="A26" s="66"/>
      <c r="B26" s="67"/>
      <c r="C26" s="68"/>
      <c r="D26" s="68"/>
      <c r="E26" s="68"/>
      <c r="F26" s="69"/>
      <c r="G26" s="69"/>
      <c r="H26" s="69"/>
      <c r="I26" s="69"/>
      <c r="J26" s="69"/>
      <c r="K26" s="69"/>
      <c r="L26" s="69"/>
      <c r="M26" s="70"/>
      <c r="N26" s="71"/>
      <c r="O26" s="72" t="s">
        <v>81</v>
      </c>
      <c r="P26" s="35">
        <v>0</v>
      </c>
      <c r="Q26" s="4"/>
      <c r="AA26" s="73">
        <v>2</v>
      </c>
      <c r="AB26" s="54" t="s">
        <v>116</v>
      </c>
      <c r="AE26" s="29"/>
      <c r="AF26" s="54"/>
      <c r="AG26" s="29"/>
      <c r="AH26" s="29"/>
      <c r="AI26" s="29"/>
      <c r="AJ26" s="29"/>
      <c r="AK26" s="29"/>
      <c r="AL26" s="29"/>
      <c r="AN26" s="29">
        <v>5</v>
      </c>
      <c r="AO26" s="29" t="s">
        <v>454</v>
      </c>
      <c r="AP26" s="29">
        <f>IF(AND((AH8=1)),VLOOKUP(AN26,AN3:AT14,3,0),IF(AND((AH8=2)),VLOOKUP(AN26,AN3:AT14,4,0),IF(AND((AH8=3)),VLOOKUP(AN26,AN3:AT14,5,0),IF(AND((AH8=4)),VLOOKUP(AN26,AN3:AT14,6,0),IF(AND((AH8=5)),VLOOKUP(AN26,AN3:AT14,7,0))))))</f>
        <v>14860</v>
      </c>
      <c r="AQ26" s="29">
        <v>9.416</v>
      </c>
    </row>
    <row r="27" spans="1:43" ht="27">
      <c r="A27" s="319"/>
      <c r="B27" s="320"/>
      <c r="C27" s="321"/>
      <c r="D27" s="321"/>
      <c r="E27" s="321"/>
      <c r="F27" s="320"/>
      <c r="G27" s="320"/>
      <c r="H27" s="320"/>
      <c r="I27" s="320"/>
      <c r="J27" s="320"/>
      <c r="K27" s="320"/>
      <c r="L27" s="320"/>
      <c r="M27" s="320"/>
      <c r="N27" s="322"/>
      <c r="O27" s="323"/>
      <c r="P27" s="324"/>
      <c r="Q27" s="277"/>
      <c r="AA27" s="73"/>
      <c r="AB27" s="54"/>
      <c r="AE27" s="29"/>
      <c r="AF27" s="54"/>
      <c r="AG27" s="29"/>
      <c r="AH27" s="29"/>
      <c r="AI27" s="29"/>
      <c r="AJ27" s="29"/>
      <c r="AK27" s="29"/>
      <c r="AL27" s="29"/>
      <c r="AN27" s="29"/>
      <c r="AO27" s="29"/>
      <c r="AP27" s="29"/>
      <c r="AQ27" s="29"/>
    </row>
    <row r="28" spans="1:43" ht="27">
      <c r="A28" s="319"/>
      <c r="B28" s="320"/>
      <c r="C28" s="321"/>
      <c r="D28" s="321"/>
      <c r="E28" s="321"/>
      <c r="F28" s="320"/>
      <c r="G28" s="320"/>
      <c r="H28" s="320"/>
      <c r="I28" s="320"/>
      <c r="J28" s="320"/>
      <c r="K28" s="320"/>
      <c r="L28" s="320"/>
      <c r="M28" s="320"/>
      <c r="N28" s="322"/>
      <c r="O28" s="323"/>
      <c r="P28" s="324"/>
      <c r="Q28" s="277"/>
      <c r="AA28" s="73"/>
      <c r="AB28" s="54"/>
      <c r="AE28" s="29"/>
      <c r="AF28" s="54"/>
      <c r="AG28" s="29"/>
      <c r="AH28" s="29"/>
      <c r="AI28" s="29"/>
      <c r="AJ28" s="29"/>
      <c r="AK28" s="29"/>
      <c r="AL28" s="29"/>
      <c r="AN28" s="29"/>
      <c r="AO28" s="29"/>
      <c r="AP28" s="29"/>
      <c r="AQ28" s="29"/>
    </row>
    <row r="29" spans="1:43" ht="27">
      <c r="A29" s="319"/>
      <c r="B29" s="320"/>
      <c r="C29" s="321"/>
      <c r="D29" s="321"/>
      <c r="E29" s="321"/>
      <c r="F29" s="320"/>
      <c r="G29" s="320"/>
      <c r="H29" s="320"/>
      <c r="I29" s="320"/>
      <c r="J29" s="320"/>
      <c r="K29" s="320"/>
      <c r="L29" s="320"/>
      <c r="M29" s="320"/>
      <c r="N29" s="322"/>
      <c r="O29" s="323"/>
      <c r="P29" s="324"/>
      <c r="Q29" s="277"/>
      <c r="AA29" s="73"/>
      <c r="AB29" s="54"/>
      <c r="AE29" s="29"/>
      <c r="AF29" s="54"/>
      <c r="AG29" s="29"/>
      <c r="AH29" s="29"/>
      <c r="AI29" s="29"/>
      <c r="AJ29" s="29"/>
      <c r="AK29" s="29"/>
      <c r="AL29" s="29"/>
      <c r="AN29" s="29"/>
      <c r="AO29" s="29"/>
      <c r="AP29" s="29"/>
      <c r="AQ29" s="29"/>
    </row>
    <row r="30" spans="1:43" ht="27">
      <c r="A30" s="319"/>
      <c r="B30" s="320"/>
      <c r="C30" s="321"/>
      <c r="D30" s="321"/>
      <c r="E30" s="321"/>
      <c r="F30" s="320"/>
      <c r="G30" s="320"/>
      <c r="H30" s="320"/>
      <c r="I30" s="320"/>
      <c r="J30" s="320"/>
      <c r="K30" s="320"/>
      <c r="L30" s="320"/>
      <c r="M30" s="320"/>
      <c r="N30" s="322"/>
      <c r="O30" s="323"/>
      <c r="P30" s="324"/>
      <c r="Q30" s="277"/>
      <c r="AA30" s="73"/>
      <c r="AB30" s="54"/>
      <c r="AE30" s="29"/>
      <c r="AF30" s="54"/>
      <c r="AG30" s="29"/>
      <c r="AH30" s="29"/>
      <c r="AI30" s="29"/>
      <c r="AJ30" s="29"/>
      <c r="AK30" s="29"/>
      <c r="AL30" s="29"/>
      <c r="AN30" s="29"/>
      <c r="AO30" s="29"/>
      <c r="AP30" s="29"/>
      <c r="AQ30" s="29"/>
    </row>
    <row r="31" spans="1:43" ht="27">
      <c r="A31" s="319"/>
      <c r="B31" s="320"/>
      <c r="C31" s="321"/>
      <c r="D31" s="321"/>
      <c r="E31" s="321"/>
      <c r="F31" s="320"/>
      <c r="G31" s="320"/>
      <c r="H31" s="320"/>
      <c r="I31" s="320"/>
      <c r="J31" s="320"/>
      <c r="K31" s="320"/>
      <c r="L31" s="320"/>
      <c r="M31" s="320"/>
      <c r="N31" s="322"/>
      <c r="O31" s="323"/>
      <c r="P31" s="324"/>
      <c r="Q31" s="277"/>
      <c r="AA31" s="73"/>
      <c r="AB31" s="54"/>
      <c r="AE31" s="29"/>
      <c r="AF31" s="54"/>
      <c r="AG31" s="29"/>
      <c r="AH31" s="29"/>
      <c r="AI31" s="29"/>
      <c r="AJ31" s="29"/>
      <c r="AK31" s="29"/>
      <c r="AL31" s="29"/>
      <c r="AN31" s="29"/>
      <c r="AO31" s="29"/>
      <c r="AP31" s="29"/>
      <c r="AQ31" s="29"/>
    </row>
    <row r="32" spans="1:43" ht="27">
      <c r="A32" s="319"/>
      <c r="B32" s="320"/>
      <c r="C32" s="321"/>
      <c r="D32" s="321"/>
      <c r="E32" s="321"/>
      <c r="F32" s="320"/>
      <c r="G32" s="320"/>
      <c r="H32" s="320"/>
      <c r="I32" s="320"/>
      <c r="J32" s="320"/>
      <c r="K32" s="320"/>
      <c r="L32" s="320"/>
      <c r="M32" s="320"/>
      <c r="N32" s="322"/>
      <c r="O32" s="323"/>
      <c r="P32" s="324"/>
      <c r="Q32" s="277"/>
      <c r="AA32" s="73"/>
      <c r="AB32" s="54"/>
      <c r="AE32" s="29"/>
      <c r="AF32" s="54"/>
      <c r="AG32" s="29"/>
      <c r="AH32" s="29"/>
      <c r="AI32" s="29"/>
      <c r="AJ32" s="29"/>
      <c r="AK32" s="29"/>
      <c r="AL32" s="29"/>
      <c r="AN32" s="29"/>
      <c r="AO32" s="29"/>
      <c r="AP32" s="29"/>
      <c r="AQ32" s="29"/>
    </row>
    <row r="33" spans="1:43" ht="27">
      <c r="A33" s="319"/>
      <c r="B33" s="320"/>
      <c r="C33" s="321"/>
      <c r="D33" s="321"/>
      <c r="E33" s="321"/>
      <c r="F33" s="320"/>
      <c r="G33" s="320"/>
      <c r="H33" s="320"/>
      <c r="I33" s="320"/>
      <c r="J33" s="320"/>
      <c r="K33" s="320"/>
      <c r="L33" s="320"/>
      <c r="M33" s="320"/>
      <c r="N33" s="322"/>
      <c r="O33" s="323"/>
      <c r="P33" s="324"/>
      <c r="Q33" s="277"/>
      <c r="AA33" s="73"/>
      <c r="AB33" s="54"/>
      <c r="AE33" s="29"/>
      <c r="AF33" s="54"/>
      <c r="AG33" s="29"/>
      <c r="AH33" s="29"/>
      <c r="AI33" s="29"/>
      <c r="AJ33" s="29"/>
      <c r="AK33" s="29"/>
      <c r="AL33" s="29"/>
      <c r="AN33" s="29"/>
      <c r="AO33" s="29"/>
      <c r="AP33" s="29"/>
      <c r="AQ33" s="29"/>
    </row>
    <row r="34" spans="1:43" ht="27">
      <c r="A34" s="319"/>
      <c r="B34" s="320"/>
      <c r="C34" s="321"/>
      <c r="D34" s="321"/>
      <c r="E34" s="321"/>
      <c r="F34" s="320"/>
      <c r="G34" s="320"/>
      <c r="H34" s="320"/>
      <c r="I34" s="320"/>
      <c r="J34" s="320"/>
      <c r="K34" s="320"/>
      <c r="L34" s="320"/>
      <c r="M34" s="320"/>
      <c r="N34" s="322"/>
      <c r="O34" s="323"/>
      <c r="P34" s="324"/>
      <c r="Q34" s="277"/>
      <c r="AA34" s="73"/>
      <c r="AB34" s="54"/>
      <c r="AE34" s="29"/>
      <c r="AF34" s="54"/>
      <c r="AG34" s="29"/>
      <c r="AH34" s="29"/>
      <c r="AI34" s="29"/>
      <c r="AJ34" s="29"/>
      <c r="AK34" s="29"/>
      <c r="AL34" s="29"/>
      <c r="AN34" s="29"/>
      <c r="AO34" s="29"/>
      <c r="AP34" s="29"/>
      <c r="AQ34" s="29"/>
    </row>
    <row r="35" spans="1:43" ht="27">
      <c r="A35" s="319"/>
      <c r="B35" s="320"/>
      <c r="C35" s="321"/>
      <c r="D35" s="321"/>
      <c r="E35" s="321"/>
      <c r="F35" s="320"/>
      <c r="G35" s="320"/>
      <c r="H35" s="320"/>
      <c r="I35" s="320"/>
      <c r="J35" s="320"/>
      <c r="K35" s="320"/>
      <c r="L35" s="320"/>
      <c r="M35" s="320"/>
      <c r="N35" s="322"/>
      <c r="O35" s="323"/>
      <c r="P35" s="324"/>
      <c r="Q35" s="277"/>
      <c r="AA35" s="73"/>
      <c r="AB35" s="54"/>
      <c r="AE35" s="29"/>
      <c r="AF35" s="54"/>
      <c r="AG35" s="29"/>
      <c r="AH35" s="29"/>
      <c r="AI35" s="29"/>
      <c r="AJ35" s="29"/>
      <c r="AK35" s="29"/>
      <c r="AL35" s="29"/>
      <c r="AN35" s="29"/>
      <c r="AO35" s="29"/>
      <c r="AP35" s="29"/>
      <c r="AQ35" s="29"/>
    </row>
    <row r="36" spans="1:43" ht="27">
      <c r="A36" s="319"/>
      <c r="B36" s="320"/>
      <c r="C36" s="321"/>
      <c r="D36" s="321"/>
      <c r="E36" s="321"/>
      <c r="F36" s="320"/>
      <c r="G36" s="320"/>
      <c r="H36" s="320"/>
      <c r="I36" s="320"/>
      <c r="J36" s="320"/>
      <c r="K36" s="320"/>
      <c r="L36" s="320"/>
      <c r="M36" s="320"/>
      <c r="N36" s="322"/>
      <c r="O36" s="323"/>
      <c r="P36" s="324"/>
      <c r="Q36" s="277"/>
      <c r="AA36" s="73"/>
      <c r="AB36" s="54"/>
      <c r="AE36" s="29"/>
      <c r="AF36" s="54"/>
      <c r="AG36" s="29"/>
      <c r="AH36" s="29"/>
      <c r="AI36" s="29"/>
      <c r="AJ36" s="29"/>
      <c r="AK36" s="29"/>
      <c r="AL36" s="29"/>
      <c r="AN36" s="29"/>
      <c r="AO36" s="29"/>
      <c r="AP36" s="29"/>
      <c r="AQ36" s="29"/>
    </row>
    <row r="37" spans="1:43" ht="27">
      <c r="A37" s="319"/>
      <c r="B37" s="320"/>
      <c r="C37" s="321"/>
      <c r="D37" s="321"/>
      <c r="E37" s="321"/>
      <c r="F37" s="320"/>
      <c r="G37" s="320"/>
      <c r="H37" s="320"/>
      <c r="I37" s="320"/>
      <c r="J37" s="320"/>
      <c r="K37" s="320"/>
      <c r="L37" s="320"/>
      <c r="M37" s="320"/>
      <c r="N37" s="322"/>
      <c r="O37" s="323"/>
      <c r="P37" s="324"/>
      <c r="Q37" s="277"/>
      <c r="AA37" s="73"/>
      <c r="AB37" s="54"/>
      <c r="AE37" s="29"/>
      <c r="AF37" s="54"/>
      <c r="AG37" s="29"/>
      <c r="AH37" s="29"/>
      <c r="AI37" s="29"/>
      <c r="AJ37" s="29"/>
      <c r="AK37" s="29"/>
      <c r="AL37" s="29"/>
      <c r="AN37" s="29"/>
      <c r="AO37" s="29"/>
      <c r="AP37" s="29"/>
      <c r="AQ37" s="29"/>
    </row>
    <row r="38" spans="1:43" ht="27">
      <c r="A38" s="319"/>
      <c r="B38" s="320"/>
      <c r="C38" s="321"/>
      <c r="D38" s="321"/>
      <c r="E38" s="321"/>
      <c r="F38" s="320"/>
      <c r="G38" s="320"/>
      <c r="H38" s="320"/>
      <c r="I38" s="320"/>
      <c r="J38" s="320"/>
      <c r="K38" s="320"/>
      <c r="L38" s="320"/>
      <c r="M38" s="320"/>
      <c r="N38" s="322"/>
      <c r="O38" s="323"/>
      <c r="P38" s="324"/>
      <c r="Q38" s="277"/>
      <c r="AA38" s="73"/>
      <c r="AB38" s="54"/>
      <c r="AE38" s="29"/>
      <c r="AF38" s="54"/>
      <c r="AG38" s="29"/>
      <c r="AH38" s="29"/>
      <c r="AI38" s="29"/>
      <c r="AJ38" s="29"/>
      <c r="AK38" s="29"/>
      <c r="AL38" s="29"/>
      <c r="AN38" s="29"/>
      <c r="AO38" s="29"/>
      <c r="AP38" s="29"/>
      <c r="AQ38" s="29"/>
    </row>
    <row r="39" spans="1:43" ht="27">
      <c r="A39" s="319"/>
      <c r="B39" s="320"/>
      <c r="C39" s="321"/>
      <c r="D39" s="321"/>
      <c r="E39" s="321"/>
      <c r="F39" s="320"/>
      <c r="G39" s="320"/>
      <c r="H39" s="320"/>
      <c r="I39" s="320"/>
      <c r="J39" s="320"/>
      <c r="K39" s="320"/>
      <c r="L39" s="320"/>
      <c r="M39" s="320"/>
      <c r="N39" s="322"/>
      <c r="O39" s="323"/>
      <c r="P39" s="324"/>
      <c r="Q39" s="277"/>
      <c r="AA39" s="73"/>
      <c r="AB39" s="54"/>
      <c r="AE39" s="29"/>
      <c r="AF39" s="54"/>
      <c r="AG39" s="29"/>
      <c r="AH39" s="29"/>
      <c r="AI39" s="29"/>
      <c r="AJ39" s="29"/>
      <c r="AK39" s="29"/>
      <c r="AL39" s="29"/>
      <c r="AN39" s="29"/>
      <c r="AO39" s="29"/>
      <c r="AP39" s="29"/>
      <c r="AQ39" s="29"/>
    </row>
    <row r="40" spans="1:43" ht="27">
      <c r="A40" s="319"/>
      <c r="B40" s="320"/>
      <c r="C40" s="321"/>
      <c r="D40" s="321"/>
      <c r="E40" s="321"/>
      <c r="F40" s="320"/>
      <c r="G40" s="320"/>
      <c r="H40" s="320"/>
      <c r="I40" s="320"/>
      <c r="J40" s="320"/>
      <c r="K40" s="320"/>
      <c r="L40" s="320"/>
      <c r="M40" s="320"/>
      <c r="N40" s="322"/>
      <c r="O40" s="323"/>
      <c r="P40" s="324"/>
      <c r="Q40" s="277"/>
      <c r="AA40" s="73"/>
      <c r="AB40" s="54"/>
      <c r="AE40" s="29"/>
      <c r="AF40" s="54"/>
      <c r="AG40" s="29"/>
      <c r="AH40" s="29"/>
      <c r="AI40" s="29"/>
      <c r="AJ40" s="29"/>
      <c r="AK40" s="29"/>
      <c r="AL40" s="29"/>
      <c r="AN40" s="29"/>
      <c r="AO40" s="29"/>
      <c r="AP40" s="29"/>
      <c r="AQ40" s="29"/>
    </row>
    <row r="41" spans="1:43" ht="27">
      <c r="A41" s="319"/>
      <c r="B41" s="320"/>
      <c r="C41" s="321"/>
      <c r="D41" s="321"/>
      <c r="E41" s="321"/>
      <c r="F41" s="320"/>
      <c r="G41" s="320"/>
      <c r="H41" s="320"/>
      <c r="I41" s="320"/>
      <c r="J41" s="320"/>
      <c r="K41" s="320"/>
      <c r="L41" s="320"/>
      <c r="M41" s="320"/>
      <c r="N41" s="322"/>
      <c r="O41" s="323"/>
      <c r="P41" s="324"/>
      <c r="Q41" s="277"/>
      <c r="AA41" s="73"/>
      <c r="AB41" s="54"/>
      <c r="AE41" s="29"/>
      <c r="AF41" s="54"/>
      <c r="AG41" s="29"/>
      <c r="AH41" s="29"/>
      <c r="AI41" s="29"/>
      <c r="AJ41" s="29"/>
      <c r="AK41" s="29"/>
      <c r="AL41" s="29"/>
      <c r="AN41" s="29"/>
      <c r="AO41" s="29"/>
      <c r="AP41" s="29"/>
      <c r="AQ41" s="29"/>
    </row>
    <row r="42" spans="1:43" ht="27">
      <c r="A42" s="319"/>
      <c r="B42" s="320"/>
      <c r="C42" s="321"/>
      <c r="D42" s="321"/>
      <c r="E42" s="321"/>
      <c r="F42" s="320"/>
      <c r="G42" s="320"/>
      <c r="H42" s="320"/>
      <c r="I42" s="320"/>
      <c r="J42" s="320"/>
      <c r="K42" s="320"/>
      <c r="L42" s="320"/>
      <c r="M42" s="320"/>
      <c r="N42" s="322"/>
      <c r="O42" s="323"/>
      <c r="P42" s="324"/>
      <c r="Q42" s="277"/>
      <c r="AA42" s="73"/>
      <c r="AB42" s="54"/>
      <c r="AE42" s="29"/>
      <c r="AF42" s="54"/>
      <c r="AG42" s="29"/>
      <c r="AH42" s="29"/>
      <c r="AI42" s="29"/>
      <c r="AJ42" s="29"/>
      <c r="AK42" s="29"/>
      <c r="AL42" s="29"/>
      <c r="AN42" s="29"/>
      <c r="AO42" s="29"/>
      <c r="AP42" s="29"/>
      <c r="AQ42" s="29"/>
    </row>
    <row r="43" spans="1:43" ht="26.25" customHeight="1">
      <c r="A43" s="74"/>
      <c r="B43" s="20"/>
      <c r="C43" s="263"/>
      <c r="D43" s="263"/>
      <c r="E43" s="263"/>
      <c r="F43" s="263"/>
      <c r="G43" s="263"/>
      <c r="H43" s="263"/>
      <c r="I43" s="20"/>
      <c r="J43" s="20"/>
      <c r="K43" s="20"/>
      <c r="L43" s="20"/>
      <c r="M43" s="20"/>
      <c r="N43" s="20"/>
      <c r="O43" s="20"/>
      <c r="P43" s="20"/>
      <c r="AA43" s="65">
        <v>3</v>
      </c>
      <c r="AB43" s="29" t="s">
        <v>536</v>
      </c>
      <c r="AE43" s="29"/>
      <c r="AF43" s="29"/>
      <c r="AG43" s="61"/>
      <c r="AH43" s="62"/>
      <c r="AI43" s="63"/>
      <c r="AJ43" s="63"/>
      <c r="AK43" s="64"/>
      <c r="AL43" s="64"/>
      <c r="AN43" s="29">
        <v>6</v>
      </c>
      <c r="AO43" s="29" t="s">
        <v>560</v>
      </c>
      <c r="AP43" s="29">
        <f>IF(AND((AH8=1)),VLOOKUP(AN43,AN3:AT14,3,0),IF(AND((AH8=2)),VLOOKUP(AN43,AN3:AT14,4,0),IF(AND((AH8=3)),VLOOKUP(AN43,AN3:AT14,5,0),IF(AND((AH8=4)),VLOOKUP(AN43,AN3:AT14,6,0),IF(AND((AH8=5)),VLOOKUP(AN43,AN3:AT14,7,0))))))</f>
        <v>14860</v>
      </c>
      <c r="AQ43" s="29">
        <v>16.264</v>
      </c>
    </row>
    <row r="44" spans="1:43" ht="26.25" customHeight="1">
      <c r="A44" s="28"/>
      <c r="B44" s="264"/>
      <c r="C44" s="265"/>
      <c r="D44" s="265"/>
      <c r="E44" s="265"/>
      <c r="F44" s="265"/>
      <c r="G44" s="265"/>
      <c r="H44" s="265"/>
      <c r="AE44" s="29"/>
      <c r="AF44" s="29"/>
      <c r="AG44" s="61"/>
      <c r="AH44" s="62"/>
      <c r="AI44" s="63"/>
      <c r="AJ44" s="63"/>
      <c r="AK44" s="64"/>
      <c r="AL44" s="64"/>
      <c r="AN44" s="29">
        <v>7</v>
      </c>
      <c r="AO44" s="29" t="s">
        <v>399</v>
      </c>
      <c r="AP44" s="29">
        <f>IF(AND((AH8=1)),VLOOKUP(AN44,AN3:AT14,3,0),IF(AND((AH8=2)),VLOOKUP(AN44,AN3:AT14,4,0),IF(AND((AH8=3)),VLOOKUP(AN44,AN3:AT14,5,0),IF(AND((AH8=4)),VLOOKUP(AN44,AN3:AT14,6,0),IF(AND((AH8=5)),VLOOKUP(AN44,AN3:AT14,7,0))))))</f>
        <v>14860</v>
      </c>
      <c r="AQ44" s="29">
        <v>16.264</v>
      </c>
    </row>
    <row r="45" spans="1:43" ht="26.25" customHeight="1">
      <c r="A45" s="28"/>
      <c r="B45" s="264"/>
      <c r="C45" s="265"/>
      <c r="D45" s="265"/>
      <c r="E45" s="265"/>
      <c r="F45" s="265"/>
      <c r="G45" s="265"/>
      <c r="H45" s="265"/>
      <c r="AC45" s="29">
        <v>1</v>
      </c>
      <c r="AE45" s="29"/>
      <c r="AF45" s="29"/>
      <c r="AG45" s="61"/>
      <c r="AH45" s="62"/>
      <c r="AI45" s="63"/>
      <c r="AJ45" s="63"/>
      <c r="AK45" s="64"/>
      <c r="AL45" s="64"/>
      <c r="AN45" s="29">
        <v>8</v>
      </c>
      <c r="AO45" s="29" t="s">
        <v>47</v>
      </c>
      <c r="AP45" s="29">
        <f>IF(AND((AH8=1)),VLOOKUP(AN45,AN3:AT14,3,0),IF(AND((AH8=2)),VLOOKUP(AN45,AN3:AT14,4,0),IF(AND((AH8=3)),VLOOKUP(AN45,AN3:AT14,5,0),IF(AND((AH8=4)),VLOOKUP(AN45,AN3:AT14,6,0),IF(AND((AH8=5)),VLOOKUP(AN45,AN3:AT14,7,0))))))</f>
        <v>14860</v>
      </c>
      <c r="AQ45" s="29">
        <v>16.264</v>
      </c>
    </row>
    <row r="46" spans="1:43" ht="26.25" customHeight="1">
      <c r="A46" s="28"/>
      <c r="B46" s="264"/>
      <c r="C46" s="265"/>
      <c r="D46" s="265"/>
      <c r="E46" s="265"/>
      <c r="F46" s="265"/>
      <c r="G46" s="265"/>
      <c r="H46" s="265"/>
      <c r="N46" s="5"/>
      <c r="O46" s="5"/>
      <c r="P46" s="5"/>
      <c r="Q46" s="5"/>
      <c r="R46" s="5"/>
      <c r="S46" s="5"/>
      <c r="T46" s="5"/>
      <c r="U46" s="5"/>
      <c r="V46" s="5"/>
      <c r="W46" s="5"/>
      <c r="AC46" s="29">
        <f>VLOOKUP(AC45,AA47:AC50,3,0)</f>
        <v>0</v>
      </c>
      <c r="AE46" s="29"/>
      <c r="AF46" s="29"/>
      <c r="AG46" s="29"/>
      <c r="AH46" s="29"/>
      <c r="AI46" s="29"/>
      <c r="AJ46" s="29"/>
      <c r="AK46" s="29"/>
      <c r="AL46" s="29"/>
      <c r="AN46" s="29">
        <v>9</v>
      </c>
      <c r="AO46" s="29" t="s">
        <v>485</v>
      </c>
      <c r="AP46" s="29">
        <f>IF(AND((AH8=1)),VLOOKUP(AN46,AN3:AT14,3,0),IF(AND((AH8=2)),VLOOKUP(AN46,AN3:AT14,4,0),IF(AND((AH8=3)),VLOOKUP(AN46,AN3:AT14,5,0),IF(AND((AH8=4)),VLOOKUP(AN46,AN3:AT14,6,0),IF(AND((AH8=5)),VLOOKUP(AN46,AN3:AT14,7,0))))))</f>
        <v>14860</v>
      </c>
      <c r="AQ46" s="29">
        <v>16.264</v>
      </c>
    </row>
    <row r="47" spans="1:43" ht="26.25" customHeight="1">
      <c r="A47" s="28"/>
      <c r="B47" s="264"/>
      <c r="C47" s="265"/>
      <c r="D47" s="265"/>
      <c r="E47" s="265"/>
      <c r="F47" s="264"/>
      <c r="G47" s="264"/>
      <c r="H47" s="264"/>
      <c r="M47" s="1"/>
      <c r="N47" s="72" t="s">
        <v>134</v>
      </c>
      <c r="O47" s="72" t="s">
        <v>79</v>
      </c>
      <c r="P47" s="72"/>
      <c r="Q47" s="72" t="s">
        <v>204</v>
      </c>
      <c r="R47" s="72" t="s">
        <v>265</v>
      </c>
      <c r="S47" s="72" t="s">
        <v>531</v>
      </c>
      <c r="T47" s="72" t="s">
        <v>200</v>
      </c>
      <c r="U47" s="72" t="s">
        <v>110</v>
      </c>
      <c r="V47" s="72" t="s">
        <v>351</v>
      </c>
      <c r="W47" s="72"/>
      <c r="X47" s="4"/>
      <c r="AA47" s="29">
        <v>1</v>
      </c>
      <c r="AB47" s="29" t="s">
        <v>270</v>
      </c>
      <c r="AC47" s="29">
        <v>0</v>
      </c>
      <c r="AE47" s="29"/>
      <c r="AF47" s="29"/>
      <c r="AG47" s="61"/>
      <c r="AH47" s="62"/>
      <c r="AI47" s="63"/>
      <c r="AJ47" s="63"/>
      <c r="AK47" s="64"/>
      <c r="AL47" s="64"/>
      <c r="AN47" s="29">
        <v>10</v>
      </c>
      <c r="AO47" s="29" t="s">
        <v>238</v>
      </c>
      <c r="AP47" s="29">
        <f>IF(AND((AH8=1)),VLOOKUP(AN47,AN3:AT14,3,0),IF(AND((AH8=2)),VLOOKUP(AN47,AN3:AT14,4,0),IF(AND((AH8=3)),VLOOKUP(AN47,AN3:AT14,5,0),IF(AND((AH8=4)),VLOOKUP(AN47,AN3:AT14,6,0),IF(AND((AH8=5)),VLOOKUP(AN47,AN3:AT14,7,0))))))</f>
        <v>14860</v>
      </c>
      <c r="AQ47" s="29">
        <v>16.264</v>
      </c>
    </row>
    <row r="48" spans="1:43" ht="26.25" customHeight="1">
      <c r="A48" s="28"/>
      <c r="B48" s="264"/>
      <c r="C48" s="265"/>
      <c r="D48" s="265"/>
      <c r="E48" s="265"/>
      <c r="F48" s="264"/>
      <c r="G48" s="264"/>
      <c r="H48" s="264"/>
      <c r="M48" s="1"/>
      <c r="N48" s="75">
        <v>2</v>
      </c>
      <c r="O48" s="30" t="str">
        <f>IF((N47=2),"","March,10")</f>
        <v>March,10</v>
      </c>
      <c r="P48" s="46"/>
      <c r="Q48" s="46">
        <f>IF(AND((T129=1)),U122,IF(AND((T129&lt;=(N48-1))),U130,U122))</f>
        <v>10</v>
      </c>
      <c r="R48" s="46">
        <f>IF(AND((AA62=1)),C9,IF(AND((AA62&lt;=(N48-1))),L9,C9))</f>
        <v>0</v>
      </c>
      <c r="S48" s="46">
        <f>IF(AND((AA60=1)),C12,IF(AND((AA60&lt;=(N48-1))),O12,C12))</f>
        <v>300</v>
      </c>
      <c r="T48" s="46">
        <f>IF(AND((AA61=1)),G13,IF(AND((AA61&lt;=(N48-1))),P13,G13))</f>
        <v>200</v>
      </c>
      <c r="U48" s="30">
        <v>60</v>
      </c>
      <c r="V48" s="30">
        <v>1111</v>
      </c>
      <c r="W48" s="30"/>
      <c r="X48" s="4"/>
      <c r="AA48" s="29">
        <v>2</v>
      </c>
      <c r="AB48" s="29" t="s">
        <v>489</v>
      </c>
      <c r="AC48" s="29">
        <v>50</v>
      </c>
      <c r="AE48" s="29"/>
      <c r="AF48" s="29"/>
      <c r="AG48" s="61"/>
      <c r="AH48" s="62"/>
      <c r="AI48" s="63"/>
      <c r="AJ48" s="63"/>
      <c r="AK48" s="64"/>
      <c r="AL48" s="64"/>
      <c r="AN48" s="29">
        <v>11</v>
      </c>
      <c r="AO48" s="29" t="s">
        <v>352</v>
      </c>
      <c r="AP48" s="29">
        <f>IF(AND((AH8=1)),VLOOKUP(AN48,AN3:AT14,3,0),IF(AND((AH8=2)),VLOOKUP(AN48,AN3:AT14,4,0),IF(AND((AH8=3)),VLOOKUP(AN48,AN3:AT14,5,0),IF(AND((AH8=4)),VLOOKUP(AN48,AN3:AT14,6,0),IF(AND((AH8=5)),VLOOKUP(AN48,AN3:AT14,7,0))))))</f>
        <v>14860</v>
      </c>
      <c r="AQ48" s="29">
        <v>24.824</v>
      </c>
    </row>
    <row r="49" spans="1:43" ht="26.25" customHeight="1">
      <c r="A49" s="28"/>
      <c r="B49" s="264"/>
      <c r="C49" s="265"/>
      <c r="D49" s="265"/>
      <c r="E49" s="265"/>
      <c r="F49" s="264"/>
      <c r="G49" s="264"/>
      <c r="H49" s="264"/>
      <c r="M49" s="1"/>
      <c r="N49" s="75">
        <v>3</v>
      </c>
      <c r="O49" s="30" t="str">
        <f>IF((N47=2),"","April,10")</f>
        <v>April,10</v>
      </c>
      <c r="P49" s="46"/>
      <c r="Q49" s="46">
        <f>IF(AND((T129=1)),U122,IF(AND((T129&lt;=(N49-1))),U130,U122))</f>
        <v>10</v>
      </c>
      <c r="R49" s="46">
        <f>IF(AND((AA62=1)),C9,IF(AND((AA62&lt;=(N49-1))),L9,C9))</f>
        <v>0</v>
      </c>
      <c r="S49" s="46">
        <f>IF(AND((AA60=1)),C12,IF(AND((AA60&lt;=(N49-1))),O12,C12))</f>
        <v>300</v>
      </c>
      <c r="T49" s="46">
        <f>IF(AND((AA61=1)),G13,IF(AND((AA61&lt;=(N49-1))),P13,G13))</f>
        <v>200</v>
      </c>
      <c r="U49" s="46">
        <f aca="true" t="shared" si="0" ref="U49:U59">U48</f>
        <v>60</v>
      </c>
      <c r="V49" s="46">
        <f aca="true" t="shared" si="1" ref="V49:V59">V48</f>
        <v>1111</v>
      </c>
      <c r="W49" s="46">
        <f aca="true" t="shared" si="2" ref="W49:W59">W48</f>
        <v>0</v>
      </c>
      <c r="X49" s="4"/>
      <c r="AA49" s="29">
        <v>3</v>
      </c>
      <c r="AB49" s="29" t="s">
        <v>283</v>
      </c>
      <c r="AC49" s="29">
        <v>75</v>
      </c>
      <c r="AE49" s="29"/>
      <c r="AF49" s="29"/>
      <c r="AG49" s="61"/>
      <c r="AH49" s="62"/>
      <c r="AI49" s="63"/>
      <c r="AJ49" s="63"/>
      <c r="AK49" s="64"/>
      <c r="AL49" s="64"/>
      <c r="AN49" s="29">
        <v>12</v>
      </c>
      <c r="AO49" s="29" t="s">
        <v>81</v>
      </c>
      <c r="AP49" s="29">
        <f>IF(AND((AH8=1)),VLOOKUP(AN49,AN3:AT14,3,0),IF(AND((AH8=2)),VLOOKUP(AN49,AN3:AT14,4,0),IF(AND((AH8=3)),VLOOKUP(AN49,AN3:AT14,5,0),IF(AND((AH8=4)),VLOOKUP(AN49,AN3:AT14,6,0),IF(AND((AH8=5)),VLOOKUP(AN49,AN3:AT14,7,0))))))</f>
        <v>14860</v>
      </c>
      <c r="AQ49" s="29">
        <v>24.824</v>
      </c>
    </row>
    <row r="50" spans="1:43" ht="26.25" customHeight="1">
      <c r="A50" s="28"/>
      <c r="B50" s="264"/>
      <c r="C50" s="265"/>
      <c r="D50" s="265"/>
      <c r="E50" s="265"/>
      <c r="F50" s="264"/>
      <c r="G50" s="264"/>
      <c r="H50" s="264"/>
      <c r="M50" s="1"/>
      <c r="N50" s="75">
        <v>4</v>
      </c>
      <c r="O50" s="30" t="str">
        <f>IF((N47=2),"","May,10")</f>
        <v>May,10</v>
      </c>
      <c r="P50" s="46"/>
      <c r="Q50" s="46">
        <f>IF(AND((T129=1)),U122,IF(AND((T129&lt;=(N50-1))),U130,U122))</f>
        <v>10</v>
      </c>
      <c r="R50" s="46">
        <f>IF(AND((AA62=1)),C9,IF(AND((AA62&lt;=(N50-1))),L9,C9))</f>
        <v>0</v>
      </c>
      <c r="S50" s="46">
        <f>IF(AND((AA60=1)),C12,IF(AND((AA60&lt;=(N50-1))),O12,C12))</f>
        <v>300</v>
      </c>
      <c r="T50" s="46">
        <f>IF(AND((AA61=1)),G13,IF(AND((AA61&lt;=(N50-1))),P13,G13))</f>
        <v>200</v>
      </c>
      <c r="U50" s="46">
        <f t="shared" si="0"/>
        <v>60</v>
      </c>
      <c r="V50" s="46">
        <f t="shared" si="1"/>
        <v>1111</v>
      </c>
      <c r="W50" s="46">
        <f t="shared" si="2"/>
        <v>0</v>
      </c>
      <c r="X50" s="4"/>
      <c r="AA50" s="29">
        <v>4</v>
      </c>
      <c r="AB50" s="29" t="s">
        <v>454</v>
      </c>
      <c r="AC50" s="29">
        <v>100</v>
      </c>
      <c r="AE50" s="29"/>
      <c r="AF50" s="29"/>
      <c r="AG50" s="61"/>
      <c r="AH50" s="62"/>
      <c r="AI50" s="63"/>
      <c r="AJ50" s="63"/>
      <c r="AK50" s="64"/>
      <c r="AL50" s="64"/>
      <c r="AN50" s="29">
        <v>13</v>
      </c>
      <c r="AO50" s="29" t="s">
        <v>327</v>
      </c>
      <c r="AP50" s="29">
        <f>IF(AND((AH8=1)),VLOOKUP(AN50,AN3:AT14,3,0),IF(AND((AH8=2)),VLOOKUP(AN50,AN3:AT14,4,0),IF(AND((AH8=3)),VLOOKUP(AN50,AN3:AT14,5,0),IF(AND((AH8=4)),VLOOKUP(AN50,AN3:AT14,6,0),IF(AND((AH8=5)),VLOOKUP(AN50,AN3:AT14,7,0))))))</f>
        <v>14860</v>
      </c>
      <c r="AQ50" s="29">
        <v>24.824</v>
      </c>
    </row>
    <row r="51" spans="1:38" ht="26.25" customHeight="1">
      <c r="A51" s="28"/>
      <c r="B51" s="264"/>
      <c r="C51" s="265"/>
      <c r="D51" s="265"/>
      <c r="E51" s="265"/>
      <c r="F51" s="264"/>
      <c r="G51" s="264"/>
      <c r="H51" s="264"/>
      <c r="M51" s="1"/>
      <c r="N51" s="75">
        <v>5</v>
      </c>
      <c r="O51" s="30" t="str">
        <f>IF((N47=2),"","June,10")</f>
        <v>June,10</v>
      </c>
      <c r="P51" s="46"/>
      <c r="Q51" s="46">
        <f>IF(AND((T129=1)),U122,IF(AND((T129&lt;=(N51-1))),U130,U122))</f>
        <v>10</v>
      </c>
      <c r="R51" s="46">
        <f>IF(AND((AA62=1)),C9,IF(AND((AA62&lt;=(N51-1))),L9,C9))</f>
        <v>0</v>
      </c>
      <c r="S51" s="46">
        <f>IF(AND((AA60=1)),C12,IF(AND((AA60&lt;=(N51-1))),O12,C12))</f>
        <v>300</v>
      </c>
      <c r="T51" s="46">
        <f>IF(AND((AA61=1)),G13,IF(AND((AA61&lt;=(N51-1))),P13,G13))</f>
        <v>200</v>
      </c>
      <c r="U51" s="46">
        <f t="shared" si="0"/>
        <v>60</v>
      </c>
      <c r="V51" s="46">
        <f t="shared" si="1"/>
        <v>1111</v>
      </c>
      <c r="W51" s="46">
        <f t="shared" si="2"/>
        <v>0</v>
      </c>
      <c r="X51" s="47"/>
      <c r="Y51" s="29"/>
      <c r="AA51" s="29">
        <v>5</v>
      </c>
      <c r="AB51" s="29" t="s">
        <v>560</v>
      </c>
      <c r="AE51" s="29"/>
      <c r="AF51" s="29"/>
      <c r="AG51" s="61"/>
      <c r="AH51" s="62"/>
      <c r="AI51" s="63"/>
      <c r="AJ51" s="63"/>
      <c r="AK51" s="64"/>
      <c r="AL51" s="64"/>
    </row>
    <row r="52" spans="1:38" ht="26.25" customHeight="1">
      <c r="A52" s="28"/>
      <c r="B52" s="264"/>
      <c r="C52" s="265"/>
      <c r="D52" s="265"/>
      <c r="E52" s="265"/>
      <c r="F52" s="264"/>
      <c r="G52" s="264"/>
      <c r="H52" s="264"/>
      <c r="M52" s="1"/>
      <c r="N52" s="75">
        <v>6</v>
      </c>
      <c r="O52" s="30" t="str">
        <f>IF((N47=2),"","July,10")</f>
        <v>July,10</v>
      </c>
      <c r="P52" s="46"/>
      <c r="Q52" s="46">
        <f>IF(AND((T129=1)),U122,IF(AND((T129&lt;=(N52-1))),U130,U122))</f>
        <v>10</v>
      </c>
      <c r="R52" s="46">
        <f>IF(AND((AA62=1)),C9,IF(AND((AA62&lt;=(N52-1))),L9,C9))</f>
        <v>0</v>
      </c>
      <c r="S52" s="46">
        <f>IF(AND((AA60=1)),C12,IF(AND((AA60&lt;=(N52-1))),O12,C12))</f>
        <v>300</v>
      </c>
      <c r="T52" s="46">
        <f>IF(AND((AA61=1)),G13,IF(AND((AA61&lt;=(N52-1))),P13,G13))</f>
        <v>200</v>
      </c>
      <c r="U52" s="46">
        <f t="shared" si="0"/>
        <v>60</v>
      </c>
      <c r="V52" s="46">
        <f t="shared" si="1"/>
        <v>1111</v>
      </c>
      <c r="W52" s="46">
        <f t="shared" si="2"/>
        <v>0</v>
      </c>
      <c r="X52" s="47"/>
      <c r="Y52" s="29"/>
      <c r="AA52" s="29">
        <v>6</v>
      </c>
      <c r="AB52" s="29" t="s">
        <v>399</v>
      </c>
      <c r="AE52" s="29"/>
      <c r="AF52" s="29"/>
      <c r="AG52" s="29"/>
      <c r="AH52" s="29"/>
      <c r="AI52" s="29"/>
      <c r="AJ52" s="29"/>
      <c r="AK52" s="29"/>
      <c r="AL52" s="29"/>
    </row>
    <row r="53" spans="1:38" ht="26.25" customHeight="1">
      <c r="A53" s="28"/>
      <c r="B53" s="264"/>
      <c r="C53" s="265"/>
      <c r="D53" s="265"/>
      <c r="E53" s="265"/>
      <c r="F53" s="264"/>
      <c r="G53" s="264"/>
      <c r="H53" s="264"/>
      <c r="M53" s="1"/>
      <c r="N53" s="75">
        <v>7</v>
      </c>
      <c r="O53" s="30" t="str">
        <f>IF((N47=2),"","Aug,10")</f>
        <v>Aug,10</v>
      </c>
      <c r="P53" s="46"/>
      <c r="Q53" s="46">
        <f>IF(AND((T129=1)),U122,IF(AND((T129&lt;=(N53-1))),U130,U122))</f>
        <v>10</v>
      </c>
      <c r="R53" s="46">
        <f>IF(AND((AA62=1)),C9,IF(AND((AA62&lt;=(N53-1))),L9,C9))</f>
        <v>0</v>
      </c>
      <c r="S53" s="46">
        <f>IF(AND((AA60=1)),C12,IF(AND((AA60&lt;=(N53-1))),O12,C12))</f>
        <v>300</v>
      </c>
      <c r="T53" s="46">
        <f>IF(AND((AA61=1)),G13,IF(AND((AA61&lt;=(N53-1))),P13,G13))</f>
        <v>200</v>
      </c>
      <c r="U53" s="46">
        <f t="shared" si="0"/>
        <v>60</v>
      </c>
      <c r="V53" s="46">
        <f t="shared" si="1"/>
        <v>1111</v>
      </c>
      <c r="W53" s="46">
        <f t="shared" si="2"/>
        <v>0</v>
      </c>
      <c r="X53" s="47"/>
      <c r="Y53" s="29"/>
      <c r="AA53" s="29">
        <v>7</v>
      </c>
      <c r="AB53" s="29" t="s">
        <v>47</v>
      </c>
      <c r="AE53" s="29"/>
      <c r="AF53" s="39"/>
      <c r="AG53" s="29"/>
      <c r="AH53" s="29"/>
      <c r="AI53" s="29"/>
      <c r="AJ53" s="29"/>
      <c r="AK53" s="29"/>
      <c r="AL53" s="29"/>
    </row>
    <row r="54" spans="1:38" ht="26.25" customHeight="1">
      <c r="A54" s="28"/>
      <c r="B54" s="264"/>
      <c r="C54" s="265"/>
      <c r="D54" s="265"/>
      <c r="E54" s="265"/>
      <c r="F54" s="264"/>
      <c r="G54" s="264"/>
      <c r="H54" s="264"/>
      <c r="M54" s="1"/>
      <c r="N54" s="75">
        <v>8</v>
      </c>
      <c r="O54" s="30" t="str">
        <f>IF((N47=2),"","Sept,10")</f>
        <v>Sept,10</v>
      </c>
      <c r="P54" s="46"/>
      <c r="Q54" s="46">
        <f>IF(AND((T129=1)),U122,IF(AND((T129&lt;=(N54-1))),U130,U122))</f>
        <v>10</v>
      </c>
      <c r="R54" s="46">
        <f>IF(AND((AA62=1)),C9,IF(AND((AA62&lt;=(N54-1))),L9,C9))</f>
        <v>0</v>
      </c>
      <c r="S54" s="46">
        <f>IF(AND((AA60=1)),C12,IF(AND((AA60&lt;=(N54-1))),O12,C12))</f>
        <v>900</v>
      </c>
      <c r="T54" s="46">
        <f>IF(AND((AA61=1)),G13,IF(AND((AA61&lt;=(N54-1))),P13,G13))</f>
        <v>450</v>
      </c>
      <c r="U54" s="46">
        <f t="shared" si="0"/>
        <v>60</v>
      </c>
      <c r="V54" s="46">
        <f t="shared" si="1"/>
        <v>1111</v>
      </c>
      <c r="W54" s="46">
        <f t="shared" si="2"/>
        <v>0</v>
      </c>
      <c r="X54" s="47"/>
      <c r="Y54" s="29"/>
      <c r="AA54" s="29">
        <v>8</v>
      </c>
      <c r="AB54" s="29" t="s">
        <v>485</v>
      </c>
      <c r="AE54" s="29"/>
      <c r="AF54" s="29"/>
      <c r="AG54" s="29"/>
      <c r="AH54" s="29"/>
      <c r="AI54" s="29"/>
      <c r="AJ54" s="29"/>
      <c r="AK54" s="29"/>
      <c r="AL54" s="29"/>
    </row>
    <row r="55" spans="1:38" ht="26.25" customHeight="1">
      <c r="A55" s="28"/>
      <c r="B55" s="264"/>
      <c r="C55" s="265"/>
      <c r="D55" s="265"/>
      <c r="E55" s="265"/>
      <c r="F55" s="264"/>
      <c r="G55" s="264"/>
      <c r="H55" s="264"/>
      <c r="M55" s="1"/>
      <c r="N55" s="75">
        <v>9</v>
      </c>
      <c r="O55" s="30" t="str">
        <f>IF((N47=2),"","Oct,10")</f>
        <v>Oct,10</v>
      </c>
      <c r="P55" s="46"/>
      <c r="Q55" s="46">
        <f>IF(AND((T129=1)),U122,IF(AND((T129&lt;=(N55-1))),U130,U122))</f>
        <v>10</v>
      </c>
      <c r="R55" s="46">
        <f>IF(AND((AA62=1)),C9,IF(AND((AA62&lt;=(N55-1))),L9,C9))</f>
        <v>0</v>
      </c>
      <c r="S55" s="46">
        <f>IF(AND((AA60=1)),C12,IF(AND((AA60&lt;=(N55-1))),O12,C12))</f>
        <v>900</v>
      </c>
      <c r="T55" s="46">
        <f>IF(AND((AA61=1)),G13,IF(AND((AA61&lt;=(N55-1))),P13,G13))</f>
        <v>450</v>
      </c>
      <c r="U55" s="46">
        <f t="shared" si="0"/>
        <v>60</v>
      </c>
      <c r="V55" s="46">
        <f t="shared" si="1"/>
        <v>1111</v>
      </c>
      <c r="W55" s="46">
        <f t="shared" si="2"/>
        <v>0</v>
      </c>
      <c r="X55" s="47"/>
      <c r="Y55" s="29"/>
      <c r="AA55" s="29">
        <v>9</v>
      </c>
      <c r="AB55" s="29" t="s">
        <v>238</v>
      </c>
      <c r="AE55" s="29"/>
      <c r="AF55" s="76"/>
      <c r="AG55" s="29"/>
      <c r="AH55" s="29"/>
      <c r="AI55" s="29"/>
      <c r="AJ55" s="29"/>
      <c r="AK55" s="29"/>
      <c r="AL55" s="29"/>
    </row>
    <row r="56" spans="1:38" ht="26.25" customHeight="1">
      <c r="A56" s="28"/>
      <c r="B56" s="264"/>
      <c r="C56" s="265"/>
      <c r="D56" s="265"/>
      <c r="E56" s="265"/>
      <c r="F56" s="264"/>
      <c r="G56" s="264"/>
      <c r="H56" s="264"/>
      <c r="M56" s="1"/>
      <c r="N56" s="75">
        <v>10</v>
      </c>
      <c r="O56" s="30" t="str">
        <f>IF((N47=2),"","Nov,10")</f>
        <v>Nov,10</v>
      </c>
      <c r="P56" s="46"/>
      <c r="Q56" s="46">
        <f>IF(AND((T129=1)),U122,IF(AND((T129&lt;=(N56-1))),U130,U122))</f>
        <v>10</v>
      </c>
      <c r="R56" s="46">
        <f>IF(AND((AA62=1)),C9,IF(AND((AA62&lt;=(N56-1))),L9,C9))</f>
        <v>0</v>
      </c>
      <c r="S56" s="46">
        <f>IF(AND((AA60=1)),C12,IF(AND((AA60&lt;=(N56-1))),O12,C12))</f>
        <v>900</v>
      </c>
      <c r="T56" s="46">
        <f>IF(AND((AA61=1)),G13,IF(AND((AA61&lt;=(N56-1))),P13,G13))</f>
        <v>450</v>
      </c>
      <c r="U56" s="46">
        <f t="shared" si="0"/>
        <v>60</v>
      </c>
      <c r="V56" s="46">
        <f t="shared" si="1"/>
        <v>1111</v>
      </c>
      <c r="W56" s="46">
        <f t="shared" si="2"/>
        <v>0</v>
      </c>
      <c r="X56" s="47"/>
      <c r="Y56" s="29"/>
      <c r="AA56" s="29">
        <v>10</v>
      </c>
      <c r="AB56" s="29" t="s">
        <v>352</v>
      </c>
      <c r="AE56" s="29"/>
      <c r="AF56" s="29"/>
      <c r="AG56" s="29"/>
      <c r="AH56" s="29"/>
      <c r="AI56" s="29"/>
      <c r="AJ56" s="29"/>
      <c r="AK56" s="29"/>
      <c r="AL56" s="29"/>
    </row>
    <row r="57" spans="1:38" ht="26.25" customHeight="1">
      <c r="A57" s="28"/>
      <c r="B57" s="264"/>
      <c r="C57" s="265"/>
      <c r="D57" s="265"/>
      <c r="E57" s="265"/>
      <c r="F57" s="264"/>
      <c r="G57" s="264"/>
      <c r="H57" s="264"/>
      <c r="M57" s="1"/>
      <c r="N57" s="75">
        <v>11</v>
      </c>
      <c r="O57" s="30" t="str">
        <f>IF((N47=2),"","Dec,10")</f>
        <v>Dec,10</v>
      </c>
      <c r="P57" s="46"/>
      <c r="Q57" s="46">
        <f>IF(AND((T129=1)),U122,IF(AND((T129&lt;=(N57-1))),U130,U122))</f>
        <v>10</v>
      </c>
      <c r="R57" s="46">
        <f>IF(AND((AA62=1)),C9,IF(AND((AA62&lt;=(N57-1))),L9,C9))</f>
        <v>0</v>
      </c>
      <c r="S57" s="46">
        <f>IF(AND((AA60=1)),C12,IF(AND((AA60&lt;=(N57-1))),O12,C12))</f>
        <v>900</v>
      </c>
      <c r="T57" s="46">
        <f>IF(AND((AA61=1)),G13,IF(AND((AA61&lt;=(N57-1))),P13,G13))</f>
        <v>450</v>
      </c>
      <c r="U57" s="46">
        <f t="shared" si="0"/>
        <v>60</v>
      </c>
      <c r="V57" s="46">
        <f t="shared" si="1"/>
        <v>1111</v>
      </c>
      <c r="W57" s="46">
        <f t="shared" si="2"/>
        <v>0</v>
      </c>
      <c r="X57" s="47"/>
      <c r="Y57" s="29"/>
      <c r="AA57" s="29">
        <v>11</v>
      </c>
      <c r="AB57" s="29" t="s">
        <v>81</v>
      </c>
      <c r="AE57" s="29"/>
      <c r="AF57" s="29"/>
      <c r="AG57" s="29"/>
      <c r="AH57" s="29"/>
      <c r="AI57" s="29"/>
      <c r="AJ57" s="29"/>
      <c r="AK57" s="29"/>
      <c r="AL57" s="29"/>
    </row>
    <row r="58" spans="1:38" ht="26.25" customHeight="1">
      <c r="A58" s="28"/>
      <c r="B58" s="264"/>
      <c r="C58" s="265"/>
      <c r="D58" s="265"/>
      <c r="E58" s="265"/>
      <c r="F58" s="264"/>
      <c r="G58" s="264"/>
      <c r="H58" s="264"/>
      <c r="M58" s="1"/>
      <c r="N58" s="75">
        <v>12</v>
      </c>
      <c r="O58" s="30" t="str">
        <f>IF((N47=2),"","Jan,11")</f>
        <v>Jan,11</v>
      </c>
      <c r="P58" s="46"/>
      <c r="Q58" s="46">
        <f>IF(AND((T129=1)),U122,IF(AND((T129&lt;=(N58-1))),U130,U122))</f>
        <v>10</v>
      </c>
      <c r="R58" s="46">
        <f>IF(AND((AA62=1)),C9,IF(AND((AA62&lt;=(N58-1))),L9,C9))</f>
        <v>0</v>
      </c>
      <c r="S58" s="46">
        <f>IF(AND((AA60=1)),C12,IF(AND((AA60&lt;=(N58-1))),O12,C12))</f>
        <v>900</v>
      </c>
      <c r="T58" s="46">
        <f>IF(AND((AA61=1)),G13,IF(AND((AA61&lt;=(N58-1))),P13,G13))</f>
        <v>450</v>
      </c>
      <c r="U58" s="46">
        <f t="shared" si="0"/>
        <v>60</v>
      </c>
      <c r="V58" s="46">
        <f t="shared" si="1"/>
        <v>1111</v>
      </c>
      <c r="W58" s="46">
        <f t="shared" si="2"/>
        <v>0</v>
      </c>
      <c r="X58" s="47"/>
      <c r="Y58" s="29"/>
      <c r="AA58" s="29">
        <v>12</v>
      </c>
      <c r="AB58" s="29" t="s">
        <v>327</v>
      </c>
      <c r="AE58" s="29"/>
      <c r="AF58" s="29"/>
      <c r="AG58" s="29"/>
      <c r="AH58" s="29"/>
      <c r="AI58" s="29"/>
      <c r="AJ58" s="29"/>
      <c r="AK58" s="29"/>
      <c r="AL58" s="29"/>
    </row>
    <row r="59" spans="1:38" ht="26.25" customHeight="1">
      <c r="A59" s="28"/>
      <c r="B59" s="264"/>
      <c r="C59" s="265"/>
      <c r="D59" s="265"/>
      <c r="E59" s="265"/>
      <c r="F59" s="264"/>
      <c r="G59" s="264"/>
      <c r="H59" s="264"/>
      <c r="M59" s="1"/>
      <c r="N59" s="75">
        <v>13</v>
      </c>
      <c r="O59" s="30" t="str">
        <f>IF((N47=2),"","Feb,11")</f>
        <v>Feb,11</v>
      </c>
      <c r="P59" s="46"/>
      <c r="Q59" s="46">
        <f>IF(AND((T129=1)),U122,IF(AND((T129&lt;=(N59-1))),U130,U122))</f>
        <v>10</v>
      </c>
      <c r="R59" s="46">
        <f>IF(AND((AA62=1)),C9,IF(AND((AA62&lt;=(N59-1))),L9,C9))</f>
        <v>0</v>
      </c>
      <c r="S59" s="46">
        <f>IF(AND((AA60=1)),C12,IF(AND((AA60&lt;=(N59-1))),O12,C12))</f>
        <v>900</v>
      </c>
      <c r="T59" s="46">
        <f>IF(AND((AA61=1)),G13,IF(AND((AA61&lt;=(N59-1))),P13,G13))</f>
        <v>450</v>
      </c>
      <c r="U59" s="46">
        <f t="shared" si="0"/>
        <v>60</v>
      </c>
      <c r="V59" s="46">
        <f t="shared" si="1"/>
        <v>1111</v>
      </c>
      <c r="W59" s="46">
        <f t="shared" si="2"/>
        <v>0</v>
      </c>
      <c r="X59" s="4"/>
      <c r="Y59" s="5"/>
      <c r="Z59" s="5"/>
      <c r="AA59" s="5"/>
      <c r="AB59" s="5"/>
      <c r="AE59" s="29"/>
      <c r="AF59" s="29"/>
      <c r="AG59" s="29"/>
      <c r="AH59" s="29"/>
      <c r="AI59" s="29"/>
      <c r="AJ59" s="29"/>
      <c r="AK59" s="29"/>
      <c r="AL59" s="29"/>
    </row>
    <row r="60" spans="1:38" ht="26.25" customHeight="1">
      <c r="A60" s="28"/>
      <c r="B60" s="264"/>
      <c r="C60" s="265"/>
      <c r="D60" s="265"/>
      <c r="E60" s="265"/>
      <c r="F60" s="264"/>
      <c r="G60" s="264"/>
      <c r="H60" s="264"/>
      <c r="N60" s="77"/>
      <c r="O60" s="56"/>
      <c r="P60" s="56"/>
      <c r="Q60" s="56"/>
      <c r="R60" s="56"/>
      <c r="S60" s="56"/>
      <c r="T60" s="56"/>
      <c r="U60" s="56"/>
      <c r="V60" s="56"/>
      <c r="W60" s="56"/>
      <c r="X60" s="1"/>
      <c r="Y60" s="43"/>
      <c r="Z60" s="78" t="s">
        <v>434</v>
      </c>
      <c r="AA60" s="78">
        <v>7</v>
      </c>
      <c r="AB60" s="44" t="str">
        <f>VLOOKUP(AA60,AA47:AB58,2,0)</f>
        <v>Sept,10</v>
      </c>
      <c r="AC60" s="4"/>
      <c r="AE60" s="29"/>
      <c r="AF60" s="29"/>
      <c r="AG60" s="29"/>
      <c r="AH60" s="29"/>
      <c r="AI60" s="29"/>
      <c r="AJ60" s="29"/>
      <c r="AK60" s="29"/>
      <c r="AL60" s="29"/>
    </row>
    <row r="61" spans="1:38" ht="26.25" customHeight="1">
      <c r="A61" s="28"/>
      <c r="B61" s="264"/>
      <c r="C61" s="265"/>
      <c r="D61" s="265"/>
      <c r="E61" s="265"/>
      <c r="F61" s="264"/>
      <c r="G61" s="264"/>
      <c r="H61" s="264"/>
      <c r="N61" s="5"/>
      <c r="O61" s="79"/>
      <c r="P61" s="79" t="s">
        <v>554</v>
      </c>
      <c r="Q61" s="79" t="s">
        <v>208</v>
      </c>
      <c r="R61" s="65"/>
      <c r="S61" s="79"/>
      <c r="T61" s="5"/>
      <c r="U61" s="5"/>
      <c r="V61" s="5"/>
      <c r="X61" s="1"/>
      <c r="Y61" s="47"/>
      <c r="Z61" s="29" t="s">
        <v>504</v>
      </c>
      <c r="AA61" s="29">
        <v>7</v>
      </c>
      <c r="AB61" s="48" t="str">
        <f>VLOOKUP(AA61,AA47:AB58,2,0)</f>
        <v>Sept,10</v>
      </c>
      <c r="AC61" s="4"/>
      <c r="AE61" s="29"/>
      <c r="AF61" s="29"/>
      <c r="AG61" s="29"/>
      <c r="AH61" s="29"/>
      <c r="AI61" s="29"/>
      <c r="AJ61" s="29"/>
      <c r="AK61" s="29"/>
      <c r="AL61" s="29"/>
    </row>
    <row r="62" spans="1:32" ht="26.25" customHeight="1">
      <c r="A62" s="28"/>
      <c r="B62" s="264"/>
      <c r="C62" s="265"/>
      <c r="D62" s="265"/>
      <c r="E62" s="265"/>
      <c r="F62" s="264"/>
      <c r="G62" s="264"/>
      <c r="H62" s="264"/>
      <c r="M62" s="1"/>
      <c r="N62" s="359" t="s">
        <v>179</v>
      </c>
      <c r="O62" s="359"/>
      <c r="P62" s="46">
        <v>0</v>
      </c>
      <c r="Q62" s="46">
        <v>0</v>
      </c>
      <c r="R62" s="80"/>
      <c r="S62" s="366" t="s">
        <v>159</v>
      </c>
      <c r="T62" s="366"/>
      <c r="U62" s="366"/>
      <c r="V62" s="46">
        <v>60000</v>
      </c>
      <c r="W62" s="4"/>
      <c r="X62" s="1"/>
      <c r="Y62" s="49"/>
      <c r="Z62" s="81" t="s">
        <v>265</v>
      </c>
      <c r="AA62" s="81">
        <v>1</v>
      </c>
      <c r="AB62" s="48" t="str">
        <f>VLOOKUP(AA62,AA47:AB58,2,0)</f>
        <v>No Change</v>
      </c>
      <c r="AC62" s="4"/>
      <c r="AF62" s="29"/>
    </row>
    <row r="63" spans="1:29" ht="26.25" customHeight="1">
      <c r="A63" s="28"/>
      <c r="B63" s="264"/>
      <c r="C63" s="265"/>
      <c r="D63" s="265"/>
      <c r="E63" s="265"/>
      <c r="F63" s="264"/>
      <c r="G63" s="264"/>
      <c r="H63" s="264"/>
      <c r="N63" s="42"/>
      <c r="O63" s="45"/>
      <c r="P63" s="45"/>
      <c r="Q63" s="45"/>
      <c r="R63" s="65"/>
      <c r="S63" s="364"/>
      <c r="T63" s="364"/>
      <c r="U63" s="364"/>
      <c r="V63" s="364"/>
      <c r="Y63" s="20"/>
      <c r="Z63" s="78" t="s">
        <v>110</v>
      </c>
      <c r="AA63" s="20"/>
      <c r="AC63" s="5"/>
    </row>
    <row r="64" spans="1:32" ht="26.25" customHeight="1">
      <c r="A64" s="28"/>
      <c r="B64" s="264"/>
      <c r="C64" s="265"/>
      <c r="D64" s="265"/>
      <c r="E64" s="265"/>
      <c r="F64" s="264"/>
      <c r="G64" s="264"/>
      <c r="H64" s="264"/>
      <c r="M64" s="1"/>
      <c r="N64" s="367" t="s">
        <v>548</v>
      </c>
      <c r="O64" s="367"/>
      <c r="P64" s="367"/>
      <c r="Q64" s="46">
        <v>12173</v>
      </c>
      <c r="R64" s="80"/>
      <c r="S64" s="367" t="s">
        <v>216</v>
      </c>
      <c r="T64" s="367"/>
      <c r="U64" s="367"/>
      <c r="V64" s="46">
        <v>0</v>
      </c>
      <c r="W64" s="4"/>
      <c r="AB64" s="1"/>
      <c r="AC64" s="82" t="s">
        <v>53</v>
      </c>
      <c r="AD64" s="4"/>
      <c r="AF64" s="29" t="str">
        <f>CONCATENATE("Statement Showing the Salary Particulars of : ",AB18," ",D3,", ",Z4,", ",C4,", Mandal : ",L4)</f>
        <v>Statement Showing the Salary Particulars of : Sri. K.LINGA REDDY, SGT, , PS KOYALAPAHAD, Mandal : TRIPURARAM</v>
      </c>
    </row>
    <row r="65" spans="1:30" ht="26.25" customHeight="1">
      <c r="A65" s="28"/>
      <c r="B65" s="264"/>
      <c r="C65" s="265"/>
      <c r="D65" s="265"/>
      <c r="E65" s="265"/>
      <c r="F65" s="264"/>
      <c r="G65" s="264"/>
      <c r="H65" s="264"/>
      <c r="M65" s="5"/>
      <c r="N65" s="42"/>
      <c r="O65" s="42"/>
      <c r="P65" s="42"/>
      <c r="Q65" s="42"/>
      <c r="R65" s="5"/>
      <c r="S65" s="42"/>
      <c r="T65" s="42"/>
      <c r="U65" s="20"/>
      <c r="V65" s="20"/>
      <c r="Y65" s="29">
        <v>17</v>
      </c>
      <c r="AA65" s="29">
        <v>2</v>
      </c>
      <c r="AB65" s="1"/>
      <c r="AC65" s="59">
        <v>2</v>
      </c>
      <c r="AD65" s="4"/>
    </row>
    <row r="66" spans="1:30" ht="26.25" customHeight="1">
      <c r="A66" s="28"/>
      <c r="B66" s="264"/>
      <c r="C66" s="265"/>
      <c r="D66" s="265"/>
      <c r="E66" s="265"/>
      <c r="F66" s="264"/>
      <c r="G66" s="264"/>
      <c r="H66" s="264"/>
      <c r="L66" s="1"/>
      <c r="M66" s="83">
        <v>1</v>
      </c>
      <c r="N66" s="84" t="str">
        <f>VLOOKUP(M66,M67:N68,2,0)</f>
        <v>Medical Insurance Premium</v>
      </c>
      <c r="O66" s="84"/>
      <c r="P66" s="78"/>
      <c r="Q66" s="78"/>
      <c r="R66" s="85">
        <f>VLOOKUP(M66,M67:S68,7,0)</f>
        <v>15000</v>
      </c>
      <c r="S66" s="78">
        <f>M20</f>
        <v>0</v>
      </c>
      <c r="T66" s="86">
        <f>MIN(R66,S66)</f>
        <v>0</v>
      </c>
      <c r="U66" s="4"/>
      <c r="Y66" s="29">
        <f>IF((AA85=2),"","1")</f>
      </c>
      <c r="AA66" s="29">
        <v>1</v>
      </c>
      <c r="AB66" s="48" t="s">
        <v>266</v>
      </c>
      <c r="AC66" s="59" t="str">
        <f>VLOOKUP(AC65,AA66:AB67,2,0)</f>
        <v>No</v>
      </c>
      <c r="AD66" s="4"/>
    </row>
    <row r="67" spans="1:28" ht="26.25" customHeight="1">
      <c r="A67" s="28"/>
      <c r="B67" s="264"/>
      <c r="C67" s="265"/>
      <c r="D67" s="265"/>
      <c r="E67" s="265"/>
      <c r="F67" s="264"/>
      <c r="G67" s="264"/>
      <c r="H67" s="264"/>
      <c r="L67" s="1"/>
      <c r="M67" s="47">
        <v>1</v>
      </c>
      <c r="N67" s="87" t="s">
        <v>369</v>
      </c>
      <c r="O67" s="87"/>
      <c r="P67" s="87"/>
      <c r="Q67" s="87"/>
      <c r="R67" s="87"/>
      <c r="S67" s="88">
        <v>15000</v>
      </c>
      <c r="T67" s="48"/>
      <c r="U67" s="4"/>
      <c r="Y67" s="29">
        <f>IF((AA85=2),"","2")</f>
      </c>
      <c r="AA67" s="29">
        <v>2</v>
      </c>
      <c r="AB67" s="29" t="s">
        <v>215</v>
      </c>
    </row>
    <row r="68" spans="1:43" ht="26.25" customHeight="1">
      <c r="A68" s="28"/>
      <c r="B68" s="264"/>
      <c r="C68" s="265"/>
      <c r="D68" s="265"/>
      <c r="E68" s="265"/>
      <c r="F68" s="264"/>
      <c r="G68" s="264"/>
      <c r="H68" s="264"/>
      <c r="L68" s="1"/>
      <c r="M68" s="49">
        <v>2</v>
      </c>
      <c r="N68" s="89" t="s">
        <v>500</v>
      </c>
      <c r="O68" s="89"/>
      <c r="P68" s="89"/>
      <c r="Q68" s="89"/>
      <c r="R68" s="89"/>
      <c r="S68" s="90">
        <v>20000</v>
      </c>
      <c r="T68" s="50"/>
      <c r="U68" s="4"/>
      <c r="Y68" s="29">
        <f>IF((AA85=2),"","3")</f>
      </c>
      <c r="AE68" s="29">
        <v>15</v>
      </c>
      <c r="AF68" s="29" t="str">
        <f>VLOOKUP(AE68,AE70:AF86,2,)</f>
        <v>30 Days - Jan,11</v>
      </c>
      <c r="AH68" s="5"/>
      <c r="AI68" s="5"/>
      <c r="AJ68" s="5"/>
      <c r="AK68" s="5"/>
      <c r="AL68" s="5"/>
      <c r="AM68" s="5"/>
      <c r="AN68" s="5"/>
      <c r="AO68" s="5"/>
      <c r="AP68" s="5"/>
      <c r="AQ68" s="5"/>
    </row>
    <row r="69" spans="1:44" ht="26.25" customHeight="1">
      <c r="A69" s="28"/>
      <c r="B69" s="264"/>
      <c r="C69" s="265"/>
      <c r="D69" s="265"/>
      <c r="E69" s="265"/>
      <c r="F69" s="264"/>
      <c r="G69" s="264"/>
      <c r="H69" s="264"/>
      <c r="L69" s="1"/>
      <c r="M69" s="83">
        <v>1</v>
      </c>
      <c r="N69" s="91" t="str">
        <f>VLOOKUP(M69,M70:N71,2,0)</f>
        <v>Expenditure on medical treatment</v>
      </c>
      <c r="O69" s="85"/>
      <c r="P69" s="85"/>
      <c r="Q69" s="85"/>
      <c r="R69" s="85">
        <f>VLOOKUP(M69,M70:S71,7,0)</f>
        <v>40000</v>
      </c>
      <c r="S69" s="92">
        <f>M19</f>
        <v>0</v>
      </c>
      <c r="T69" s="86">
        <f>MIN(R69,S69)</f>
        <v>0</v>
      </c>
      <c r="U69" s="4"/>
      <c r="Y69" s="29">
        <f>IF((AA85=2),"","4")</f>
      </c>
      <c r="AG69" s="1"/>
      <c r="AH69" s="93" t="s">
        <v>211</v>
      </c>
      <c r="AI69" s="93" t="s">
        <v>132</v>
      </c>
      <c r="AJ69" s="93" t="s">
        <v>549</v>
      </c>
      <c r="AK69" s="93" t="s">
        <v>95</v>
      </c>
      <c r="AL69" s="93" t="s">
        <v>510</v>
      </c>
      <c r="AM69" s="93" t="s">
        <v>118</v>
      </c>
      <c r="AN69" s="93" t="s">
        <v>190</v>
      </c>
      <c r="AO69" s="93" t="s">
        <v>265</v>
      </c>
      <c r="AP69" s="93" t="s">
        <v>53</v>
      </c>
      <c r="AQ69" s="93" t="s">
        <v>202</v>
      </c>
      <c r="AR69" s="4"/>
    </row>
    <row r="70" spans="1:45" ht="26.25" customHeight="1">
      <c r="A70" s="28"/>
      <c r="B70" s="264"/>
      <c r="C70" s="265"/>
      <c r="D70" s="265"/>
      <c r="E70" s="265"/>
      <c r="F70" s="264"/>
      <c r="G70" s="264"/>
      <c r="H70" s="264"/>
      <c r="L70" s="1"/>
      <c r="M70" s="47">
        <v>1</v>
      </c>
      <c r="N70" s="87" t="s">
        <v>521</v>
      </c>
      <c r="O70" s="87"/>
      <c r="P70" s="87"/>
      <c r="Q70" s="87"/>
      <c r="R70" s="87"/>
      <c r="S70" s="88">
        <v>40000</v>
      </c>
      <c r="T70" s="48"/>
      <c r="U70" s="4"/>
      <c r="Y70" s="29">
        <f>IF((AA85=2),"","5")</f>
      </c>
      <c r="AA70" s="29">
        <v>4</v>
      </c>
      <c r="AB70" s="29" t="str">
        <f>VLOOKUP(AA70,AA71:AB83,2,0)</f>
        <v>May,10</v>
      </c>
      <c r="AE70" s="29">
        <v>1</v>
      </c>
      <c r="AF70" s="29" t="s">
        <v>75</v>
      </c>
      <c r="AH70" s="78">
        <v>0</v>
      </c>
      <c r="AI70" s="78">
        <v>0</v>
      </c>
      <c r="AJ70" s="78">
        <v>0</v>
      </c>
      <c r="AK70" s="78">
        <v>0</v>
      </c>
      <c r="AL70" s="78">
        <v>0</v>
      </c>
      <c r="AM70" s="78">
        <v>0</v>
      </c>
      <c r="AN70" s="78">
        <v>0</v>
      </c>
      <c r="AO70" s="78">
        <v>0</v>
      </c>
      <c r="AP70" s="78">
        <v>0</v>
      </c>
      <c r="AQ70" s="78">
        <v>0</v>
      </c>
      <c r="AR70" s="29">
        <v>0</v>
      </c>
      <c r="AS70" s="29">
        <v>0</v>
      </c>
    </row>
    <row r="71" spans="1:43" ht="26.25" customHeight="1">
      <c r="A71" s="28"/>
      <c r="B71" s="264"/>
      <c r="C71" s="265"/>
      <c r="D71" s="265"/>
      <c r="E71" s="265"/>
      <c r="F71" s="264"/>
      <c r="G71" s="264"/>
      <c r="H71" s="264"/>
      <c r="L71" s="1"/>
      <c r="M71" s="49">
        <v>2</v>
      </c>
      <c r="N71" s="89" t="s">
        <v>172</v>
      </c>
      <c r="O71" s="89"/>
      <c r="P71" s="89"/>
      <c r="Q71" s="89"/>
      <c r="R71" s="89"/>
      <c r="S71" s="90">
        <v>60000</v>
      </c>
      <c r="T71" s="50"/>
      <c r="U71" s="4"/>
      <c r="Y71" s="29">
        <f>IF((AA85=2),"","6")</f>
      </c>
      <c r="AA71" s="29">
        <v>1</v>
      </c>
      <c r="AB71" s="29" t="s">
        <v>389</v>
      </c>
      <c r="AC71" s="94" t="s">
        <v>364</v>
      </c>
      <c r="AE71" s="29">
        <v>2</v>
      </c>
      <c r="AF71" s="29" t="s">
        <v>243</v>
      </c>
      <c r="AH71" s="29">
        <f>ROUND((TABLE!C8/2),0.1)</f>
        <v>7430</v>
      </c>
      <c r="AI71" s="29">
        <f>ROUND((TABLE!D8/2),0.1)</f>
        <v>1209</v>
      </c>
      <c r="AJ71" s="29">
        <f>ROUND((TABLE!E8/2),0.1)</f>
        <v>743</v>
      </c>
      <c r="AK71" s="29">
        <v>0</v>
      </c>
      <c r="AL71" s="29">
        <f>ROUND((TABLE!G8/2),0.1)</f>
        <v>0</v>
      </c>
      <c r="AM71" s="29">
        <f>ROUND((TABLE!H8/2),0.1)</f>
        <v>0</v>
      </c>
      <c r="AN71" s="29">
        <v>0</v>
      </c>
      <c r="AO71" s="29">
        <v>0</v>
      </c>
      <c r="AP71" s="29">
        <v>0</v>
      </c>
      <c r="AQ71" s="29">
        <f aca="true" t="shared" si="3" ref="AQ71:AQ88">SUM(AH71:AP71)</f>
        <v>9382</v>
      </c>
    </row>
    <row r="72" spans="1:43" ht="26.25" customHeight="1">
      <c r="A72" s="28"/>
      <c r="B72" s="264"/>
      <c r="C72" s="265"/>
      <c r="D72" s="265"/>
      <c r="E72" s="265"/>
      <c r="F72" s="264"/>
      <c r="G72" s="264"/>
      <c r="H72" s="264"/>
      <c r="L72" s="1"/>
      <c r="M72" s="83">
        <v>1</v>
      </c>
      <c r="N72" s="91" t="str">
        <f>VLOOKUP(M72,M73:N74,2,0)</f>
        <v>Donation of Charitable Institution</v>
      </c>
      <c r="O72" s="95"/>
      <c r="P72" s="85"/>
      <c r="Q72" s="85"/>
      <c r="R72" s="85">
        <f>VLOOKUP(M72,M73:S74,7,0)</f>
        <v>100000</v>
      </c>
      <c r="S72" s="92">
        <f>M21</f>
        <v>0</v>
      </c>
      <c r="T72" s="86">
        <f>MIN(R72,S72)</f>
        <v>0</v>
      </c>
      <c r="U72" s="4"/>
      <c r="Y72" s="29">
        <f>IF((AA85=2),"","7")</f>
      </c>
      <c r="AA72" s="29">
        <v>2</v>
      </c>
      <c r="AB72" s="29" t="s">
        <v>428</v>
      </c>
      <c r="AC72" s="94" t="s">
        <v>368</v>
      </c>
      <c r="AE72" s="29">
        <v>3</v>
      </c>
      <c r="AF72" s="29" t="s">
        <v>3</v>
      </c>
      <c r="AH72" s="29">
        <f>TABLE!C9</f>
        <v>14860</v>
      </c>
      <c r="AI72" s="29">
        <f>TABLE!D9</f>
        <v>2417</v>
      </c>
      <c r="AJ72" s="29">
        <f>TABLE!E9</f>
        <v>1486</v>
      </c>
      <c r="AK72" s="29">
        <v>0</v>
      </c>
      <c r="AL72" s="29">
        <f>TABLE!G9</f>
        <v>0</v>
      </c>
      <c r="AM72" s="29">
        <f>TABLE!H9</f>
        <v>0</v>
      </c>
      <c r="AN72" s="29">
        <v>0</v>
      </c>
      <c r="AO72" s="29">
        <v>0</v>
      </c>
      <c r="AP72" s="29">
        <v>0</v>
      </c>
      <c r="AQ72" s="29">
        <f t="shared" si="3"/>
        <v>18763</v>
      </c>
    </row>
    <row r="73" spans="1:43" ht="26.25" customHeight="1">
      <c r="A73" s="28"/>
      <c r="B73" s="264"/>
      <c r="C73" s="265"/>
      <c r="D73" s="265"/>
      <c r="E73" s="265"/>
      <c r="F73" s="264"/>
      <c r="G73" s="264"/>
      <c r="H73" s="264"/>
      <c r="L73" s="1"/>
      <c r="M73" s="47">
        <v>1</v>
      </c>
      <c r="N73" s="87" t="s">
        <v>509</v>
      </c>
      <c r="O73" s="87"/>
      <c r="P73" s="87"/>
      <c r="Q73" s="87"/>
      <c r="R73" s="87"/>
      <c r="S73" s="88">
        <v>100000</v>
      </c>
      <c r="T73" s="48"/>
      <c r="U73" s="4"/>
      <c r="Y73" s="29">
        <f>IF((AA85=2),"","8")</f>
      </c>
      <c r="AA73" s="29">
        <v>3</v>
      </c>
      <c r="AB73" s="29" t="s">
        <v>489</v>
      </c>
      <c r="AC73" s="94" t="s">
        <v>358</v>
      </c>
      <c r="AE73" s="29">
        <v>4</v>
      </c>
      <c r="AF73" s="29" t="s">
        <v>458</v>
      </c>
      <c r="AH73" s="29">
        <f>ROUND((TABLE!C9/2),0.1)</f>
        <v>7430</v>
      </c>
      <c r="AI73" s="29">
        <f>ROUND((TABLE!D9/2),0.1)</f>
        <v>1209</v>
      </c>
      <c r="AJ73" s="29">
        <f>ROUND((TABLE!E9/2),0.1)</f>
        <v>743</v>
      </c>
      <c r="AK73" s="29">
        <v>0</v>
      </c>
      <c r="AL73" s="29">
        <f>ROUND((TABLE!G9/2),0.1)</f>
        <v>0</v>
      </c>
      <c r="AM73" s="29">
        <f>ROUND((TABLE!H9/2),0.1)</f>
        <v>0</v>
      </c>
      <c r="AN73" s="29">
        <v>0</v>
      </c>
      <c r="AO73" s="29">
        <v>0</v>
      </c>
      <c r="AP73" s="29">
        <v>0</v>
      </c>
      <c r="AQ73" s="29">
        <f t="shared" si="3"/>
        <v>9382</v>
      </c>
    </row>
    <row r="74" spans="1:43" ht="26.25" customHeight="1">
      <c r="A74" s="28"/>
      <c r="B74" s="264"/>
      <c r="C74" s="265"/>
      <c r="D74" s="265"/>
      <c r="E74" s="265"/>
      <c r="F74" s="264"/>
      <c r="G74" s="264"/>
      <c r="H74" s="264"/>
      <c r="L74" s="1"/>
      <c r="M74" s="49">
        <v>2</v>
      </c>
      <c r="N74" s="89" t="s">
        <v>347</v>
      </c>
      <c r="O74" s="89"/>
      <c r="P74" s="89"/>
      <c r="Q74" s="89"/>
      <c r="R74" s="89"/>
      <c r="S74" s="90">
        <v>100000</v>
      </c>
      <c r="T74" s="50"/>
      <c r="U74" s="4"/>
      <c r="Y74" s="29">
        <f>IF((AA85=2),"","9")</f>
      </c>
      <c r="AA74" s="29">
        <v>4</v>
      </c>
      <c r="AB74" s="29" t="s">
        <v>283</v>
      </c>
      <c r="AC74" s="94" t="s">
        <v>359</v>
      </c>
      <c r="AE74" s="29">
        <v>5</v>
      </c>
      <c r="AF74" s="29" t="s">
        <v>223</v>
      </c>
      <c r="AH74" s="29">
        <f>TABLE!C9</f>
        <v>14860</v>
      </c>
      <c r="AI74" s="29">
        <f>TABLE!D9</f>
        <v>2417</v>
      </c>
      <c r="AJ74" s="29">
        <f>TABLE!E9</f>
        <v>1486</v>
      </c>
      <c r="AK74" s="29">
        <v>0</v>
      </c>
      <c r="AL74" s="29">
        <f>TABLE!G9</f>
        <v>0</v>
      </c>
      <c r="AM74" s="29">
        <f>TABLE!H9</f>
        <v>0</v>
      </c>
      <c r="AN74" s="29">
        <v>0</v>
      </c>
      <c r="AO74" s="29">
        <v>0</v>
      </c>
      <c r="AP74" s="29">
        <v>0</v>
      </c>
      <c r="AQ74" s="29">
        <f t="shared" si="3"/>
        <v>18763</v>
      </c>
    </row>
    <row r="75" spans="1:43" ht="26.25" customHeight="1">
      <c r="A75" s="28"/>
      <c r="B75" s="264"/>
      <c r="C75" s="265"/>
      <c r="D75" s="265"/>
      <c r="E75" s="265"/>
      <c r="F75" s="264"/>
      <c r="G75" s="264"/>
      <c r="H75" s="264"/>
      <c r="L75" s="1"/>
      <c r="M75" s="43"/>
      <c r="N75" s="85"/>
      <c r="O75" s="85"/>
      <c r="P75" s="85"/>
      <c r="Q75" s="85"/>
      <c r="R75" s="85"/>
      <c r="S75" s="92"/>
      <c r="T75" s="44"/>
      <c r="U75" s="4"/>
      <c r="Y75" s="29">
        <f>IF((AA85=2),"","10")</f>
      </c>
      <c r="AA75" s="29">
        <v>5</v>
      </c>
      <c r="AB75" s="29" t="s">
        <v>454</v>
      </c>
      <c r="AC75" s="94" t="s">
        <v>360</v>
      </c>
      <c r="AE75" s="29">
        <v>6</v>
      </c>
      <c r="AF75" s="29" t="s">
        <v>422</v>
      </c>
      <c r="AH75" s="29">
        <f>ROUND((TABLE!C9/2),0.1)</f>
        <v>7430</v>
      </c>
      <c r="AI75" s="29">
        <f>ROUND((TABLE!D9/2),0.1)</f>
        <v>1209</v>
      </c>
      <c r="AJ75" s="29">
        <f>ROUND((TABLE!E9/2),0.1)</f>
        <v>743</v>
      </c>
      <c r="AK75" s="29">
        <v>0</v>
      </c>
      <c r="AL75" s="29">
        <f>ROUND((TABLE!G9/2),0.1)</f>
        <v>0</v>
      </c>
      <c r="AM75" s="29">
        <f>ROUND((TABLE!H9/2),0.1)</f>
        <v>0</v>
      </c>
      <c r="AN75" s="29">
        <v>0</v>
      </c>
      <c r="AO75" s="29">
        <v>0</v>
      </c>
      <c r="AP75" s="29">
        <v>0</v>
      </c>
      <c r="AQ75" s="29">
        <f t="shared" si="3"/>
        <v>9382</v>
      </c>
    </row>
    <row r="76" spans="1:43" ht="26.25" customHeight="1">
      <c r="A76" s="28"/>
      <c r="B76" s="264"/>
      <c r="C76" s="265"/>
      <c r="D76" s="265"/>
      <c r="E76" s="265"/>
      <c r="F76" s="264"/>
      <c r="G76" s="264"/>
      <c r="H76" s="264"/>
      <c r="L76" s="1"/>
      <c r="M76" s="47"/>
      <c r="N76" s="87" t="s">
        <v>256</v>
      </c>
      <c r="O76" s="87"/>
      <c r="P76" s="87"/>
      <c r="Q76" s="87"/>
      <c r="R76" s="88">
        <v>200000</v>
      </c>
      <c r="S76" s="29">
        <f>M15</f>
        <v>0</v>
      </c>
      <c r="T76" s="96">
        <f>MIN(R76,S76)</f>
        <v>0</v>
      </c>
      <c r="U76" s="4"/>
      <c r="Y76" s="29">
        <f>IF((AA85=2),"","11")</f>
      </c>
      <c r="AA76" s="29">
        <v>6</v>
      </c>
      <c r="AB76" s="29" t="s">
        <v>560</v>
      </c>
      <c r="AC76" s="94" t="s">
        <v>361</v>
      </c>
      <c r="AE76" s="29">
        <v>7</v>
      </c>
      <c r="AF76" s="29" t="s">
        <v>40</v>
      </c>
      <c r="AH76" s="29">
        <f>TABLE!C10</f>
        <v>14860</v>
      </c>
      <c r="AI76" s="29">
        <f>TABLE!D10</f>
        <v>2417</v>
      </c>
      <c r="AJ76" s="29">
        <f>TABLE!E10</f>
        <v>1486</v>
      </c>
      <c r="AK76" s="29">
        <v>0</v>
      </c>
      <c r="AL76" s="29">
        <f>TABLE!G10</f>
        <v>0</v>
      </c>
      <c r="AM76" s="29">
        <f>TABLE!H10</f>
        <v>0</v>
      </c>
      <c r="AN76" s="29">
        <v>0</v>
      </c>
      <c r="AO76" s="29">
        <v>0</v>
      </c>
      <c r="AP76" s="29">
        <v>0</v>
      </c>
      <c r="AQ76" s="29">
        <f t="shared" si="3"/>
        <v>18763</v>
      </c>
    </row>
    <row r="77" spans="1:43" ht="26.25" customHeight="1">
      <c r="A77" s="28"/>
      <c r="B77" s="264"/>
      <c r="C77" s="265"/>
      <c r="D77" s="265"/>
      <c r="E77" s="265"/>
      <c r="F77" s="264"/>
      <c r="G77" s="264"/>
      <c r="H77" s="264"/>
      <c r="L77" s="1"/>
      <c r="M77" s="47"/>
      <c r="N77" s="87"/>
      <c r="O77" s="87"/>
      <c r="P77" s="87"/>
      <c r="Q77" s="87"/>
      <c r="R77" s="88"/>
      <c r="S77" s="29"/>
      <c r="T77" s="48"/>
      <c r="U77" s="4"/>
      <c r="Y77" s="29">
        <f>IF((AA85=2),"","12")</f>
      </c>
      <c r="AA77" s="29">
        <v>7</v>
      </c>
      <c r="AB77" s="29" t="s">
        <v>399</v>
      </c>
      <c r="AC77" s="94" t="s">
        <v>355</v>
      </c>
      <c r="AE77" s="29">
        <v>8</v>
      </c>
      <c r="AF77" s="29" t="s">
        <v>475</v>
      </c>
      <c r="AH77" s="29">
        <f>ROUND((TABLE!C10/2),0.1)</f>
        <v>7430</v>
      </c>
      <c r="AI77" s="29">
        <f>ROUND((TABLE!D10/2),0.1)</f>
        <v>1209</v>
      </c>
      <c r="AJ77" s="29">
        <f>ROUND((TABLE!E10/2),0.1)</f>
        <v>743</v>
      </c>
      <c r="AK77" s="29">
        <v>0</v>
      </c>
      <c r="AL77" s="29">
        <f>ROUND((TABLE!G10/2),0.1)</f>
        <v>0</v>
      </c>
      <c r="AM77" s="29">
        <f>ROUND((TABLE!H10/2),0.1)</f>
        <v>0</v>
      </c>
      <c r="AN77" s="29">
        <v>0</v>
      </c>
      <c r="AO77" s="29">
        <v>0</v>
      </c>
      <c r="AP77" s="29">
        <v>0</v>
      </c>
      <c r="AQ77" s="29">
        <f t="shared" si="3"/>
        <v>9382</v>
      </c>
    </row>
    <row r="78" spans="1:43" ht="26.25" customHeight="1">
      <c r="A78" s="28"/>
      <c r="B78" s="264"/>
      <c r="C78" s="265"/>
      <c r="D78" s="265"/>
      <c r="E78" s="265"/>
      <c r="F78" s="264"/>
      <c r="G78" s="264"/>
      <c r="H78" s="264"/>
      <c r="L78" s="1"/>
      <c r="M78" s="47"/>
      <c r="N78" s="87" t="s">
        <v>401</v>
      </c>
      <c r="O78" s="87"/>
      <c r="P78" s="87"/>
      <c r="Q78" s="87"/>
      <c r="R78" s="88">
        <v>150000</v>
      </c>
      <c r="S78" s="29">
        <f>M16</f>
        <v>0</v>
      </c>
      <c r="T78" s="96">
        <f>MIN(R78,S78)</f>
        <v>0</v>
      </c>
      <c r="U78" s="4"/>
      <c r="Y78" s="29">
        <f>IF((AA85=2),"","13")</f>
      </c>
      <c r="AA78" s="29">
        <v>8</v>
      </c>
      <c r="AB78" s="29" t="s">
        <v>47</v>
      </c>
      <c r="AC78" s="94" t="s">
        <v>356</v>
      </c>
      <c r="AE78" s="29">
        <v>9</v>
      </c>
      <c r="AF78" s="29" t="s">
        <v>112</v>
      </c>
      <c r="AH78" s="29">
        <f>TABLE!C11</f>
        <v>14860</v>
      </c>
      <c r="AI78" s="29">
        <f>TABLE!D11</f>
        <v>2417</v>
      </c>
      <c r="AJ78" s="29">
        <f>TABLE!E11</f>
        <v>1486</v>
      </c>
      <c r="AK78" s="29">
        <v>0</v>
      </c>
      <c r="AL78" s="29">
        <f>TABLE!G11</f>
        <v>0</v>
      </c>
      <c r="AM78" s="29">
        <f>TABLE!H11</f>
        <v>0</v>
      </c>
      <c r="AN78" s="29">
        <v>0</v>
      </c>
      <c r="AO78" s="29">
        <v>0</v>
      </c>
      <c r="AP78" s="29">
        <v>0</v>
      </c>
      <c r="AQ78" s="29">
        <f t="shared" si="3"/>
        <v>18763</v>
      </c>
    </row>
    <row r="79" spans="1:43" ht="26.25" customHeight="1">
      <c r="A79" s="28"/>
      <c r="B79" s="264"/>
      <c r="C79" s="265"/>
      <c r="D79" s="265"/>
      <c r="E79" s="265"/>
      <c r="F79" s="264"/>
      <c r="G79" s="264"/>
      <c r="H79" s="264"/>
      <c r="L79" s="1"/>
      <c r="M79" s="47"/>
      <c r="N79" s="87"/>
      <c r="O79" s="87"/>
      <c r="P79" s="87"/>
      <c r="Q79" s="87"/>
      <c r="R79" s="88"/>
      <c r="S79" s="29"/>
      <c r="T79" s="97"/>
      <c r="U79" s="4"/>
      <c r="Y79" s="29">
        <f>IF((AA85=2),"","14")</f>
      </c>
      <c r="AA79" s="29">
        <v>9</v>
      </c>
      <c r="AB79" s="29" t="s">
        <v>485</v>
      </c>
      <c r="AC79" s="94" t="s">
        <v>371</v>
      </c>
      <c r="AE79" s="29">
        <v>10</v>
      </c>
      <c r="AF79" s="29" t="s">
        <v>486</v>
      </c>
      <c r="AH79" s="29">
        <f>ROUND((TABLE!C11/2),0.1)</f>
        <v>7430</v>
      </c>
      <c r="AI79" s="29">
        <f>ROUND((TABLE!D11/2),0.1)</f>
        <v>1209</v>
      </c>
      <c r="AJ79" s="29">
        <f>ROUND((TABLE!E11/2),0.1)</f>
        <v>743</v>
      </c>
      <c r="AK79" s="29">
        <v>0</v>
      </c>
      <c r="AL79" s="29">
        <f>ROUND((TABLE!G11/2),0.1)</f>
        <v>0</v>
      </c>
      <c r="AM79" s="29">
        <f>ROUND((TABLE!H11/2),0.1)</f>
        <v>0</v>
      </c>
      <c r="AN79" s="29">
        <v>0</v>
      </c>
      <c r="AO79" s="29">
        <v>0</v>
      </c>
      <c r="AP79" s="29">
        <v>0</v>
      </c>
      <c r="AQ79" s="29">
        <f t="shared" si="3"/>
        <v>9382</v>
      </c>
    </row>
    <row r="80" spans="1:43" ht="26.25" customHeight="1">
      <c r="A80" s="28"/>
      <c r="B80" s="264"/>
      <c r="C80" s="265"/>
      <c r="D80" s="265"/>
      <c r="E80" s="265"/>
      <c r="F80" s="264"/>
      <c r="G80" s="264"/>
      <c r="H80" s="264"/>
      <c r="L80" s="1"/>
      <c r="M80" s="47"/>
      <c r="N80" s="87" t="s">
        <v>481</v>
      </c>
      <c r="O80" s="87"/>
      <c r="P80" s="87"/>
      <c r="Q80" s="87"/>
      <c r="R80" s="88">
        <v>50000</v>
      </c>
      <c r="S80" s="29">
        <f>M17</f>
        <v>0</v>
      </c>
      <c r="T80" s="96">
        <f>MIN(R80,S80)</f>
        <v>0</v>
      </c>
      <c r="U80" s="4"/>
      <c r="Y80" s="29">
        <f>IF((AA85=2),"","15")</f>
      </c>
      <c r="AA80" s="29">
        <v>10</v>
      </c>
      <c r="AB80" s="29" t="s">
        <v>238</v>
      </c>
      <c r="AC80" s="94" t="s">
        <v>342</v>
      </c>
      <c r="AE80" s="29">
        <v>11</v>
      </c>
      <c r="AF80" s="29" t="s">
        <v>155</v>
      </c>
      <c r="AH80" s="29">
        <f>TABLE!C12</f>
        <v>14860</v>
      </c>
      <c r="AI80" s="29">
        <f>TABLE!D12</f>
        <v>2417</v>
      </c>
      <c r="AJ80" s="29">
        <f>TABLE!E12</f>
        <v>1486</v>
      </c>
      <c r="AK80" s="29">
        <v>0</v>
      </c>
      <c r="AL80" s="29">
        <f>TABLE!G12</f>
        <v>0</v>
      </c>
      <c r="AM80" s="29">
        <f>TABLE!H12</f>
        <v>0</v>
      </c>
      <c r="AN80" s="29">
        <v>0</v>
      </c>
      <c r="AO80" s="29">
        <v>0</v>
      </c>
      <c r="AP80" s="29">
        <v>0</v>
      </c>
      <c r="AQ80" s="29">
        <f t="shared" si="3"/>
        <v>18763</v>
      </c>
    </row>
    <row r="81" spans="1:43" ht="26.25" customHeight="1">
      <c r="A81" s="28"/>
      <c r="B81" s="264"/>
      <c r="C81" s="265"/>
      <c r="D81" s="265"/>
      <c r="E81" s="265"/>
      <c r="F81" s="264"/>
      <c r="G81" s="264"/>
      <c r="H81" s="264"/>
      <c r="L81" s="1"/>
      <c r="M81" s="47"/>
      <c r="N81" s="87"/>
      <c r="O81" s="87"/>
      <c r="P81" s="87"/>
      <c r="Q81" s="87"/>
      <c r="R81" s="88"/>
      <c r="S81" s="29"/>
      <c r="T81" s="97"/>
      <c r="U81" s="4"/>
      <c r="Y81" s="29">
        <f>IF((AA85=2),"","16")</f>
      </c>
      <c r="AA81" s="29">
        <v>11</v>
      </c>
      <c r="AB81" s="29" t="s">
        <v>352</v>
      </c>
      <c r="AC81" s="94" t="s">
        <v>343</v>
      </c>
      <c r="AE81" s="29">
        <v>12</v>
      </c>
      <c r="AF81" s="29" t="s">
        <v>176</v>
      </c>
      <c r="AH81" s="29">
        <f>ROUND((TABLE!C12/2),0.1)</f>
        <v>7430</v>
      </c>
      <c r="AI81" s="29">
        <f>ROUND((TABLE!D12/2),0.1)</f>
        <v>1209</v>
      </c>
      <c r="AJ81" s="29">
        <f>ROUND((TABLE!E12/2),0.1)</f>
        <v>743</v>
      </c>
      <c r="AK81" s="29">
        <v>0</v>
      </c>
      <c r="AL81" s="29">
        <f>ROUND((TABLE!G12/2),0.1)</f>
        <v>0</v>
      </c>
      <c r="AM81" s="29">
        <f>ROUND((TABLE!H12/2),0.1)</f>
        <v>0</v>
      </c>
      <c r="AN81" s="29">
        <v>0</v>
      </c>
      <c r="AO81" s="29">
        <v>0</v>
      </c>
      <c r="AP81" s="29">
        <v>0</v>
      </c>
      <c r="AQ81" s="29">
        <f t="shared" si="3"/>
        <v>9382</v>
      </c>
    </row>
    <row r="82" spans="1:43" ht="26.25" customHeight="1">
      <c r="A82" s="28"/>
      <c r="B82" s="264"/>
      <c r="C82" s="265"/>
      <c r="D82" s="265"/>
      <c r="E82" s="265"/>
      <c r="F82" s="264"/>
      <c r="G82" s="264"/>
      <c r="H82" s="264"/>
      <c r="L82" s="1"/>
      <c r="M82" s="49"/>
      <c r="N82" s="89" t="s">
        <v>527</v>
      </c>
      <c r="O82" s="89"/>
      <c r="P82" s="89"/>
      <c r="Q82" s="89"/>
      <c r="R82" s="90">
        <v>50000</v>
      </c>
      <c r="S82" s="81">
        <f>M18</f>
        <v>0</v>
      </c>
      <c r="T82" s="98">
        <f>MIN(R82,S82)</f>
        <v>0</v>
      </c>
      <c r="U82" s="4"/>
      <c r="Y82" s="29">
        <f>IF((AA85=2),"","17")</f>
      </c>
      <c r="AA82" s="29">
        <v>12</v>
      </c>
      <c r="AB82" s="29" t="s">
        <v>81</v>
      </c>
      <c r="AC82" s="94" t="s">
        <v>365</v>
      </c>
      <c r="AE82" s="29">
        <v>13</v>
      </c>
      <c r="AF82" s="29" t="s">
        <v>450</v>
      </c>
      <c r="AH82" s="29">
        <f>TABLE!C13</f>
        <v>14860</v>
      </c>
      <c r="AI82" s="29">
        <f>TABLE!D13</f>
        <v>3689</v>
      </c>
      <c r="AJ82" s="29">
        <f>TABLE!E13</f>
        <v>1486</v>
      </c>
      <c r="AK82" s="29">
        <v>0</v>
      </c>
      <c r="AL82" s="29">
        <f>TABLE!G13</f>
        <v>0</v>
      </c>
      <c r="AM82" s="29">
        <f>TABLE!H13</f>
        <v>0</v>
      </c>
      <c r="AN82" s="29">
        <v>0</v>
      </c>
      <c r="AO82" s="29">
        <v>0</v>
      </c>
      <c r="AP82" s="29">
        <v>0</v>
      </c>
      <c r="AQ82" s="29">
        <f t="shared" si="3"/>
        <v>20035</v>
      </c>
    </row>
    <row r="83" spans="1:43" ht="26.25" customHeight="1">
      <c r="A83" s="28"/>
      <c r="B83" s="264"/>
      <c r="C83" s="265"/>
      <c r="D83" s="265"/>
      <c r="E83" s="265"/>
      <c r="F83" s="264"/>
      <c r="G83" s="264"/>
      <c r="H83" s="264"/>
      <c r="M83" s="20"/>
      <c r="N83" s="20"/>
      <c r="O83" s="20"/>
      <c r="P83" s="20"/>
      <c r="Q83" s="20"/>
      <c r="R83" s="20"/>
      <c r="S83" s="20"/>
      <c r="T83" s="20"/>
      <c r="Y83" s="29">
        <f>IF((AA85=2),"","18")</f>
      </c>
      <c r="AA83" s="29">
        <v>13</v>
      </c>
      <c r="AB83" s="29" t="s">
        <v>327</v>
      </c>
      <c r="AC83" s="94" t="s">
        <v>366</v>
      </c>
      <c r="AE83" s="29">
        <v>14</v>
      </c>
      <c r="AF83" s="29" t="s">
        <v>219</v>
      </c>
      <c r="AH83" s="29">
        <f>ROUND((TABLE!C13/2),0.1)</f>
        <v>7430</v>
      </c>
      <c r="AI83" s="29">
        <f>ROUND((TABLE!D13/2),0.1)</f>
        <v>1845</v>
      </c>
      <c r="AJ83" s="29">
        <f>ROUND((TABLE!E13/2),0.1)</f>
        <v>743</v>
      </c>
      <c r="AK83" s="29">
        <v>0</v>
      </c>
      <c r="AL83" s="29">
        <f>ROUND((TABLE!G13/2),0.1)</f>
        <v>0</v>
      </c>
      <c r="AM83" s="29">
        <f>ROUND((TABLE!H13/2),0.1)</f>
        <v>0</v>
      </c>
      <c r="AN83" s="29">
        <v>0</v>
      </c>
      <c r="AO83" s="29">
        <v>0</v>
      </c>
      <c r="AP83" s="29">
        <v>0</v>
      </c>
      <c r="AQ83" s="29">
        <f t="shared" si="3"/>
        <v>10018</v>
      </c>
    </row>
    <row r="84" spans="1:43" ht="26.25" customHeight="1">
      <c r="A84" s="28"/>
      <c r="B84" s="264"/>
      <c r="C84" s="265"/>
      <c r="D84" s="265"/>
      <c r="E84" s="265"/>
      <c r="F84" s="264"/>
      <c r="G84" s="264"/>
      <c r="H84" s="264"/>
      <c r="Y84" s="29">
        <f>IF((AA85=2),"","19")</f>
      </c>
      <c r="AE84" s="29">
        <v>15</v>
      </c>
      <c r="AF84" s="29" t="s">
        <v>142</v>
      </c>
      <c r="AH84" s="29">
        <f>TABLE!C14</f>
        <v>14860</v>
      </c>
      <c r="AI84" s="29">
        <f>TABLE!D14</f>
        <v>3689</v>
      </c>
      <c r="AJ84" s="29">
        <f>TABLE!E14</f>
        <v>1486</v>
      </c>
      <c r="AK84" s="29">
        <v>0</v>
      </c>
      <c r="AL84" s="29">
        <f>TABLE!G14</f>
        <v>0</v>
      </c>
      <c r="AM84" s="29">
        <f>TABLE!H14</f>
        <v>0</v>
      </c>
      <c r="AN84" s="29">
        <v>0</v>
      </c>
      <c r="AO84" s="29">
        <v>0</v>
      </c>
      <c r="AP84" s="29">
        <v>0</v>
      </c>
      <c r="AQ84" s="29">
        <f t="shared" si="3"/>
        <v>20035</v>
      </c>
    </row>
    <row r="85" spans="1:43" ht="26.25" customHeight="1">
      <c r="A85" s="28"/>
      <c r="B85" s="264"/>
      <c r="C85" s="265"/>
      <c r="D85" s="265"/>
      <c r="E85" s="265"/>
      <c r="F85" s="264"/>
      <c r="G85" s="264"/>
      <c r="H85" s="264"/>
      <c r="M85" s="29">
        <v>2</v>
      </c>
      <c r="N85" s="29" t="str">
        <f>VLOOKUP(M85,M86:N87,2,)</f>
        <v>Rented House</v>
      </c>
      <c r="P85" s="29" t="str">
        <f>VLOOKUP(M85,M86:P87,4,0)</f>
        <v>Don't Enter Rent it's Calaculate Atomatically</v>
      </c>
      <c r="Y85" s="29">
        <f>IF((AA85=2),"","20")</f>
      </c>
      <c r="AA85" s="99">
        <f>AA65</f>
        <v>2</v>
      </c>
      <c r="AE85" s="29">
        <v>16</v>
      </c>
      <c r="AF85" s="29" t="s">
        <v>50</v>
      </c>
      <c r="AH85" s="29">
        <f>ROUND((TABLE!C14/2),0.1)</f>
        <v>7430</v>
      </c>
      <c r="AI85" s="29">
        <f>ROUND((TABLE!D14/2),0.1)</f>
        <v>1845</v>
      </c>
      <c r="AJ85" s="29">
        <f>ROUND((TABLE!E14/2),0.1)</f>
        <v>743</v>
      </c>
      <c r="AK85" s="29">
        <v>0</v>
      </c>
      <c r="AL85" s="29">
        <f>ROUND((TABLE!G14/2),0.1)</f>
        <v>0</v>
      </c>
      <c r="AM85" s="29">
        <f>ROUND((TABLE!H14/2),0.1)</f>
        <v>0</v>
      </c>
      <c r="AN85" s="29">
        <v>0</v>
      </c>
      <c r="AO85" s="29">
        <v>0</v>
      </c>
      <c r="AP85" s="29">
        <v>0</v>
      </c>
      <c r="AQ85" s="29">
        <f t="shared" si="3"/>
        <v>10018</v>
      </c>
    </row>
    <row r="86" spans="1:43" ht="26.25" customHeight="1">
      <c r="A86" s="28"/>
      <c r="B86" s="264"/>
      <c r="C86" s="265"/>
      <c r="D86" s="265"/>
      <c r="E86" s="265"/>
      <c r="F86" s="264"/>
      <c r="G86" s="264"/>
      <c r="H86" s="264"/>
      <c r="M86" s="29">
        <v>1</v>
      </c>
      <c r="N86" s="29" t="s">
        <v>476</v>
      </c>
      <c r="P86" s="29" t="s">
        <v>26</v>
      </c>
      <c r="Y86" s="29">
        <f>IF((AA85=2),"","21")</f>
      </c>
      <c r="AA86" s="29" t="s">
        <v>126</v>
      </c>
      <c r="AB86" s="29">
        <f>IF((AA85=2),"","March,10")</f>
      </c>
      <c r="AC86" s="29">
        <v>31</v>
      </c>
      <c r="AE86" s="29">
        <v>17</v>
      </c>
      <c r="AF86" s="29" t="s">
        <v>378</v>
      </c>
      <c r="AH86" s="29">
        <f>TABLE!C15</f>
        <v>14860</v>
      </c>
      <c r="AI86" s="29">
        <f>TABLE!D15</f>
        <v>3689</v>
      </c>
      <c r="AJ86" s="29">
        <f>TABLE!E15</f>
        <v>1486</v>
      </c>
      <c r="AK86" s="29">
        <v>0</v>
      </c>
      <c r="AL86" s="29">
        <f>TABLE!G15</f>
        <v>0</v>
      </c>
      <c r="AM86" s="29">
        <f>TABLE!H15</f>
        <v>0</v>
      </c>
      <c r="AN86" s="29">
        <v>0</v>
      </c>
      <c r="AO86" s="29">
        <v>0</v>
      </c>
      <c r="AP86" s="29">
        <v>0</v>
      </c>
      <c r="AQ86" s="29">
        <f t="shared" si="3"/>
        <v>20035</v>
      </c>
    </row>
    <row r="87" spans="1:43" ht="26.25" customHeight="1">
      <c r="A87" s="28"/>
      <c r="B87" s="264"/>
      <c r="C87" s="265"/>
      <c r="D87" s="265"/>
      <c r="E87" s="265"/>
      <c r="F87" s="264"/>
      <c r="G87" s="264"/>
      <c r="H87" s="264"/>
      <c r="M87" s="29">
        <v>2</v>
      </c>
      <c r="N87" s="29" t="s">
        <v>541</v>
      </c>
      <c r="P87" s="100" t="str">
        <f>CONCATENATE("Don't Enter Rent it's Calaculate Atomatically")</f>
        <v>Don't Enter Rent it's Calaculate Atomatically</v>
      </c>
      <c r="Y87" s="29">
        <f>IF((AA85=2),"","22")</f>
      </c>
      <c r="AA87" s="101">
        <v>8</v>
      </c>
      <c r="AB87" s="29">
        <f>IF((AA85=2),"","April,10")</f>
      </c>
      <c r="AC87" s="29">
        <v>30</v>
      </c>
      <c r="AQ87" s="29">
        <f t="shared" si="3"/>
        <v>0</v>
      </c>
    </row>
    <row r="88" spans="1:43" ht="26.25" customHeight="1">
      <c r="A88" s="28"/>
      <c r="B88" s="264"/>
      <c r="C88" s="265"/>
      <c r="D88" s="265"/>
      <c r="E88" s="265"/>
      <c r="F88" s="264"/>
      <c r="G88" s="264"/>
      <c r="H88" s="264"/>
      <c r="Y88" s="29">
        <f>IF((AA85=2),"","23")</f>
      </c>
      <c r="AA88" s="29" t="str">
        <f>VLOOKUP((AA87+1),AA71:AB82,2,0)</f>
        <v>Oct,10</v>
      </c>
      <c r="AB88" s="29">
        <f>IF((AA85=2),"","May,10")</f>
      </c>
      <c r="AC88" s="29">
        <v>31</v>
      </c>
      <c r="AH88" s="29">
        <f>VLOOKUP(AE68,AE70:AM86,4,0)</f>
        <v>14860</v>
      </c>
      <c r="AI88" s="29">
        <f>VLOOKUP(AE68,AE70:AM86,5,0)</f>
        <v>3689</v>
      </c>
      <c r="AJ88" s="29">
        <f>VLOOKUP(AE68,AE70:AM86,6,0)</f>
        <v>1486</v>
      </c>
      <c r="AK88" s="29">
        <v>0</v>
      </c>
      <c r="AL88" s="29">
        <f>VLOOKUP(AE68,AE70:AM86,8,0)</f>
        <v>0</v>
      </c>
      <c r="AM88" s="29">
        <f>VLOOKUP(AE68,AE70:AM86,9,0)</f>
        <v>0</v>
      </c>
      <c r="AN88" s="29">
        <v>0</v>
      </c>
      <c r="AO88" s="29">
        <v>0</v>
      </c>
      <c r="AP88" s="29">
        <v>0</v>
      </c>
      <c r="AQ88" s="29">
        <f t="shared" si="3"/>
        <v>20035</v>
      </c>
    </row>
    <row r="89" spans="1:29" ht="26.25" customHeight="1">
      <c r="A89" s="28"/>
      <c r="B89" s="264"/>
      <c r="C89" s="265"/>
      <c r="D89" s="265"/>
      <c r="E89" s="265"/>
      <c r="F89" s="264"/>
      <c r="G89" s="264"/>
      <c r="H89" s="264"/>
      <c r="P89" s="29" t="s">
        <v>549</v>
      </c>
      <c r="Q89" s="29">
        <f>TABLE!E26</f>
        <v>19861</v>
      </c>
      <c r="Y89" s="29">
        <f>IF((AA85=2),"","24")</f>
      </c>
      <c r="AB89" s="29">
        <f>IF((AA85=2),"","June,10")</f>
      </c>
      <c r="AC89" s="29">
        <v>30</v>
      </c>
    </row>
    <row r="90" spans="1:29" ht="26.25" customHeight="1">
      <c r="A90" s="28"/>
      <c r="B90" s="264"/>
      <c r="C90" s="265"/>
      <c r="D90" s="265"/>
      <c r="E90" s="265"/>
      <c r="F90" s="264"/>
      <c r="G90" s="264"/>
      <c r="H90" s="264"/>
      <c r="P90" s="29" t="s">
        <v>211</v>
      </c>
      <c r="Q90" s="102">
        <f>TABLE!C26</f>
        <v>203276</v>
      </c>
      <c r="Y90" s="29">
        <f>IF((AA85=2),"","25")</f>
      </c>
      <c r="AB90" s="29">
        <f>IF((AA85=2),"","July,10")</f>
      </c>
      <c r="AC90" s="29">
        <v>31</v>
      </c>
    </row>
    <row r="91" spans="1:50" ht="26.25" customHeight="1">
      <c r="A91" s="28"/>
      <c r="B91" s="264"/>
      <c r="C91" s="265"/>
      <c r="D91" s="265"/>
      <c r="E91" s="265"/>
      <c r="F91" s="264"/>
      <c r="G91" s="264"/>
      <c r="H91" s="264"/>
      <c r="P91" s="29" t="s">
        <v>132</v>
      </c>
      <c r="Q91" s="103">
        <f>TABLE!D26</f>
        <v>46159</v>
      </c>
      <c r="Y91" s="29">
        <f>IF((AA85=2),"","26")</f>
      </c>
      <c r="AB91" s="29">
        <f>IF((AA85=2),"","Aug,10")</f>
      </c>
      <c r="AC91" s="29">
        <v>31</v>
      </c>
      <c r="AK91" s="101" t="s">
        <v>537</v>
      </c>
      <c r="AL91" s="101" t="s">
        <v>132</v>
      </c>
      <c r="AM91" s="101" t="s">
        <v>549</v>
      </c>
      <c r="AN91" s="101" t="s">
        <v>505</v>
      </c>
      <c r="AO91" s="101" t="s">
        <v>102</v>
      </c>
      <c r="AP91" s="101" t="s">
        <v>132</v>
      </c>
      <c r="AQ91" s="101" t="s">
        <v>249</v>
      </c>
      <c r="AR91" s="101" t="s">
        <v>505</v>
      </c>
      <c r="AS91" s="101" t="s">
        <v>549</v>
      </c>
      <c r="AT91" s="101" t="s">
        <v>505</v>
      </c>
      <c r="AU91" s="101" t="s">
        <v>537</v>
      </c>
      <c r="AV91" s="101" t="s">
        <v>132</v>
      </c>
      <c r="AW91" s="101" t="s">
        <v>549</v>
      </c>
      <c r="AX91" s="101" t="s">
        <v>505</v>
      </c>
    </row>
    <row r="92" spans="1:50" ht="26.25" customHeight="1">
      <c r="A92" s="28"/>
      <c r="B92" s="264"/>
      <c r="C92" s="265"/>
      <c r="D92" s="265"/>
      <c r="E92" s="265"/>
      <c r="F92" s="264"/>
      <c r="G92" s="264"/>
      <c r="H92" s="264"/>
      <c r="P92" s="29" t="s">
        <v>505</v>
      </c>
      <c r="Q92" s="102">
        <f>SUM(Q90:Q91)</f>
        <v>249435</v>
      </c>
      <c r="Y92" s="29">
        <f>IF((AA85=2),"","27")</f>
      </c>
      <c r="AB92" s="29">
        <f>IF((AA85=2),"","Sept,10")</f>
      </c>
      <c r="AC92" s="29">
        <v>30</v>
      </c>
      <c r="AK92" s="101">
        <f>AB184</f>
        <v>14440</v>
      </c>
      <c r="AL92" s="101">
        <f>ROUND(((AK92*9.416)/100),0.1)</f>
        <v>1360</v>
      </c>
      <c r="AM92" s="101">
        <f>ROUND(((AK92*U122)/100),0.1)</f>
        <v>1444</v>
      </c>
      <c r="AN92" s="101">
        <f>SUM(AK92:AM92)</f>
        <v>17244</v>
      </c>
      <c r="AO92" s="101">
        <f>AD182</f>
        <v>8170</v>
      </c>
      <c r="AP92" s="101">
        <f>ROUND(((AO92*60.288)/100),0.1)</f>
        <v>4926</v>
      </c>
      <c r="AQ92" s="101">
        <f>ROUND((AO92*0.22),0.1)</f>
        <v>1797</v>
      </c>
      <c r="AR92" s="101">
        <f>SUM(AO92:AQ92)</f>
        <v>14893</v>
      </c>
      <c r="AS92" s="101">
        <f>ROUND(((AO92*U122)/100),0.1)</f>
        <v>817</v>
      </c>
      <c r="AT92" s="101">
        <f>SUM(AR92:AS92)</f>
        <v>15710</v>
      </c>
      <c r="AU92" s="101">
        <f>AK92-AR92</f>
        <v>-453</v>
      </c>
      <c r="AV92" s="101">
        <f>AL92</f>
        <v>1360</v>
      </c>
      <c r="AW92" s="101">
        <f>AM92-AS92</f>
        <v>627</v>
      </c>
      <c r="AX92" s="101">
        <f>SUM(AU92:AW92)</f>
        <v>1534</v>
      </c>
    </row>
    <row r="93" spans="1:29" ht="26.25" customHeight="1">
      <c r="A93" s="28"/>
      <c r="B93" s="264"/>
      <c r="C93" s="265"/>
      <c r="D93" s="265"/>
      <c r="E93" s="265"/>
      <c r="F93" s="264"/>
      <c r="G93" s="264"/>
      <c r="H93" s="264"/>
      <c r="Q93" s="103">
        <f>ROUND((Q92*(10/100)),0.1)</f>
        <v>24944</v>
      </c>
      <c r="Y93" s="29">
        <f>IF((AA85=2),"","28")</f>
      </c>
      <c r="AB93" s="29">
        <f>IF((AA85=2),"","Oct,10")</f>
      </c>
      <c r="AC93" s="29">
        <v>31</v>
      </c>
    </row>
    <row r="94" spans="1:29" ht="26.25" customHeight="1">
      <c r="A94" s="28"/>
      <c r="B94" s="264"/>
      <c r="C94" s="265"/>
      <c r="D94" s="265"/>
      <c r="E94" s="265"/>
      <c r="F94" s="264"/>
      <c r="G94" s="264"/>
      <c r="H94" s="264"/>
      <c r="Y94" s="29">
        <f>IF((AA85=2),"","29")</f>
      </c>
      <c r="AB94" s="29">
        <f>IF((AA85=2),"","Nov,10")</f>
      </c>
      <c r="AC94" s="29">
        <v>30</v>
      </c>
    </row>
    <row r="95" spans="1:37" ht="26.25" customHeight="1">
      <c r="A95" s="28"/>
      <c r="B95" s="264"/>
      <c r="C95" s="265"/>
      <c r="D95" s="265"/>
      <c r="E95" s="265"/>
      <c r="F95" s="264"/>
      <c r="G95" s="264"/>
      <c r="H95" s="264"/>
      <c r="P95" s="29">
        <f>ROUND(((Q89+Q93)/12),-2)+100</f>
        <v>3800</v>
      </c>
      <c r="Q95" s="29">
        <f>ROUND(((P95*12)-Q93),0.1)</f>
        <v>20656</v>
      </c>
      <c r="U95" s="5"/>
      <c r="V95" s="5"/>
      <c r="Y95" s="29">
        <f>IF((AA85=2),"","30")</f>
      </c>
      <c r="AB95" s="29">
        <f>IF((AA85=2),"","Dec,10")</f>
      </c>
      <c r="AC95" s="29">
        <v>31</v>
      </c>
      <c r="AK95" s="29" t="s">
        <v>425</v>
      </c>
    </row>
    <row r="96" spans="1:40" ht="26.25" customHeight="1">
      <c r="A96" s="28"/>
      <c r="B96" s="264"/>
      <c r="C96" s="265"/>
      <c r="D96" s="265"/>
      <c r="E96" s="265"/>
      <c r="F96" s="264"/>
      <c r="G96" s="264"/>
      <c r="H96" s="264"/>
      <c r="O96" s="104" t="s">
        <v>414</v>
      </c>
      <c r="P96" s="104" t="s">
        <v>514</v>
      </c>
      <c r="Q96" s="105">
        <f>P95</f>
        <v>3800</v>
      </c>
      <c r="R96" s="105" t="s">
        <v>436</v>
      </c>
      <c r="T96" s="1"/>
      <c r="U96" s="106">
        <v>2</v>
      </c>
      <c r="V96" s="44" t="s">
        <v>76</v>
      </c>
      <c r="W96" s="4"/>
      <c r="Y96" s="29">
        <f>IF((AA85=2),"","31")</f>
      </c>
      <c r="AB96" s="29">
        <f>IF((AA85=2),"","Jan,11")</f>
      </c>
      <c r="AC96" s="29">
        <v>31</v>
      </c>
      <c r="AK96" s="5"/>
      <c r="AM96" s="29" t="s">
        <v>27</v>
      </c>
      <c r="AN96" s="29" t="s">
        <v>173</v>
      </c>
    </row>
    <row r="97" spans="1:41" ht="26.25" customHeight="1">
      <c r="A97" s="28"/>
      <c r="B97" s="264"/>
      <c r="C97" s="265"/>
      <c r="D97" s="265"/>
      <c r="E97" s="265"/>
      <c r="F97" s="264"/>
      <c r="G97" s="264"/>
      <c r="H97" s="264"/>
      <c r="O97" s="29" t="str">
        <f>CONCATENATE(O96,P96,Q96,R96)</f>
        <v>Rent paid in excess of 10% Salary(Rent: @ 3800/-PM)</v>
      </c>
      <c r="T97" s="1"/>
      <c r="U97" s="49" t="str">
        <f>VLOOKUP(U96,AA66:AB67,2,0)</f>
        <v>No</v>
      </c>
      <c r="V97" s="50"/>
      <c r="W97" s="107"/>
      <c r="X97" s="5"/>
      <c r="AB97" s="29">
        <f>IF((AA85=2),"","Feb,11")</f>
      </c>
      <c r="AC97" s="29">
        <v>28</v>
      </c>
      <c r="AD97" s="5"/>
      <c r="AF97" s="5"/>
      <c r="AJ97" s="1"/>
      <c r="AK97" s="30" t="s">
        <v>83</v>
      </c>
      <c r="AL97" s="47">
        <f>AB182</f>
        <v>8170</v>
      </c>
      <c r="AM97" s="29">
        <f>ROUND(((AL97*73.476)/100),0.1)</f>
        <v>6003</v>
      </c>
      <c r="AN97" s="29">
        <f>ROUND(((AL97*60.288)/100),0.1)</f>
        <v>4926</v>
      </c>
      <c r="AO97" s="29">
        <f aca="true" t="shared" si="4" ref="AO97:AO104">AM97-AN97</f>
        <v>1077</v>
      </c>
    </row>
    <row r="98" spans="1:41" ht="26.25" customHeight="1">
      <c r="A98" s="28"/>
      <c r="B98" s="264"/>
      <c r="C98" s="265"/>
      <c r="D98" s="265"/>
      <c r="E98" s="265"/>
      <c r="F98" s="264"/>
      <c r="G98" s="264"/>
      <c r="H98" s="264"/>
      <c r="T98" s="1"/>
      <c r="U98" s="43" t="s">
        <v>76</v>
      </c>
      <c r="V98" s="78"/>
      <c r="W98" s="78">
        <v>28</v>
      </c>
      <c r="X98" s="44"/>
      <c r="Y98" s="4"/>
      <c r="AA98" s="5"/>
      <c r="AB98" s="5"/>
      <c r="AC98" s="108"/>
      <c r="AD98" s="109">
        <v>3850</v>
      </c>
      <c r="AE98" s="107"/>
      <c r="AF98" s="78"/>
      <c r="AG98" s="29"/>
      <c r="AJ98" s="1"/>
      <c r="AK98" s="30" t="s">
        <v>329</v>
      </c>
      <c r="AL98" s="47">
        <f>AB184</f>
        <v>14440</v>
      </c>
      <c r="AM98" s="29">
        <f aca="true" t="shared" si="5" ref="AM98:AM104">ROUND(((AL98*16.264)/100),0.1)</f>
        <v>2349</v>
      </c>
      <c r="AN98" s="29">
        <f aca="true" t="shared" si="6" ref="AN98:AN104">ROUND(((AL98*9.416)/100),0.1)</f>
        <v>1360</v>
      </c>
      <c r="AO98" s="29">
        <f t="shared" si="4"/>
        <v>989</v>
      </c>
    </row>
    <row r="99" spans="1:41" ht="26.25" customHeight="1">
      <c r="A99" s="28"/>
      <c r="B99" s="264"/>
      <c r="C99" s="265"/>
      <c r="D99" s="265"/>
      <c r="E99" s="265"/>
      <c r="F99" s="264"/>
      <c r="G99" s="264"/>
      <c r="H99" s="264"/>
      <c r="N99" s="29" t="str">
        <f>IF((AA18=1),N102,N106)</f>
        <v>Up to Rs. 1,60,000</v>
      </c>
      <c r="T99" s="1"/>
      <c r="U99" s="47"/>
      <c r="V99" s="29"/>
      <c r="W99" s="29">
        <v>11</v>
      </c>
      <c r="X99" s="48"/>
      <c r="Y99" s="4"/>
      <c r="Z99" s="1"/>
      <c r="AA99" s="43">
        <v>1</v>
      </c>
      <c r="AB99" s="44">
        <v>6700</v>
      </c>
      <c r="AC99" s="109">
        <v>3850</v>
      </c>
      <c r="AD99" s="109">
        <v>3950</v>
      </c>
      <c r="AE99" s="43">
        <v>6700</v>
      </c>
      <c r="AF99" s="29">
        <v>6900</v>
      </c>
      <c r="AG99" s="29">
        <v>7100</v>
      </c>
      <c r="AJ99" s="1"/>
      <c r="AK99" s="30" t="str">
        <f>IF((AJ98=2),"","March,10")</f>
        <v>March,10</v>
      </c>
      <c r="AL99" s="47">
        <f>TABLE!C4</f>
        <v>14440</v>
      </c>
      <c r="AM99" s="29">
        <f t="shared" si="5"/>
        <v>2349</v>
      </c>
      <c r="AN99" s="29">
        <f t="shared" si="6"/>
        <v>1360</v>
      </c>
      <c r="AO99" s="29">
        <f t="shared" si="4"/>
        <v>989</v>
      </c>
    </row>
    <row r="100" spans="1:41" ht="26.25" customHeight="1">
      <c r="A100" s="28"/>
      <c r="B100" s="264"/>
      <c r="C100" s="265"/>
      <c r="D100" s="265"/>
      <c r="E100" s="265"/>
      <c r="F100" s="264"/>
      <c r="G100" s="264"/>
      <c r="H100" s="264"/>
      <c r="N100" s="29" t="str">
        <f>IF((AA18=1),N103,N107)</f>
        <v>Rs.1,60,001 To 5,00,000.    (@ 10%)</v>
      </c>
      <c r="T100" s="1"/>
      <c r="U100" s="49"/>
      <c r="V100" s="81"/>
      <c r="W100" s="81" t="str">
        <f>VLOOKUP((W99+1),AA71:AB82,2,0)</f>
        <v>Jan,11</v>
      </c>
      <c r="X100" s="50"/>
      <c r="Y100" s="4"/>
      <c r="Z100" s="1"/>
      <c r="AA100" s="47">
        <v>2</v>
      </c>
      <c r="AB100" s="48">
        <v>6900</v>
      </c>
      <c r="AC100" s="109">
        <v>3950</v>
      </c>
      <c r="AD100" s="109">
        <v>4050</v>
      </c>
      <c r="AE100" s="47">
        <v>6900</v>
      </c>
      <c r="AF100" s="29">
        <v>7100</v>
      </c>
      <c r="AG100" s="29">
        <v>7300</v>
      </c>
      <c r="AJ100" s="1"/>
      <c r="AK100" s="30" t="str">
        <f>IF((AJ98=2),"","April,10")</f>
        <v>April,10</v>
      </c>
      <c r="AL100" s="47">
        <f>TABLE!C5</f>
        <v>14440</v>
      </c>
      <c r="AM100" s="29">
        <f t="shared" si="5"/>
        <v>2349</v>
      </c>
      <c r="AN100" s="29">
        <f t="shared" si="6"/>
        <v>1360</v>
      </c>
      <c r="AO100" s="29">
        <f t="shared" si="4"/>
        <v>989</v>
      </c>
    </row>
    <row r="101" spans="1:41" ht="26.25" customHeight="1">
      <c r="A101" s="28"/>
      <c r="B101" s="264"/>
      <c r="C101" s="265"/>
      <c r="D101" s="265"/>
      <c r="E101" s="265"/>
      <c r="F101" s="264"/>
      <c r="G101" s="264"/>
      <c r="H101" s="264"/>
      <c r="U101" s="20"/>
      <c r="V101" s="20"/>
      <c r="W101" s="20"/>
      <c r="X101" s="20"/>
      <c r="Z101" s="1"/>
      <c r="AA101" s="47">
        <v>3</v>
      </c>
      <c r="AB101" s="48">
        <v>7100</v>
      </c>
      <c r="AC101" s="109">
        <v>4050</v>
      </c>
      <c r="AD101" s="109">
        <v>4150</v>
      </c>
      <c r="AE101" s="47">
        <v>7100</v>
      </c>
      <c r="AF101" s="29">
        <v>7300</v>
      </c>
      <c r="AG101" s="29">
        <v>7520</v>
      </c>
      <c r="AJ101" s="1"/>
      <c r="AK101" s="30" t="str">
        <f>IF((AJ98=2),"","May,10")</f>
        <v>May,10</v>
      </c>
      <c r="AL101" s="47">
        <f>TABLE!C6</f>
        <v>14860</v>
      </c>
      <c r="AM101" s="29">
        <f t="shared" si="5"/>
        <v>2417</v>
      </c>
      <c r="AN101" s="29">
        <f t="shared" si="6"/>
        <v>1399</v>
      </c>
      <c r="AO101" s="29">
        <f t="shared" si="4"/>
        <v>1018</v>
      </c>
    </row>
    <row r="102" spans="1:42" ht="26.25" customHeight="1">
      <c r="A102" s="28"/>
      <c r="B102" s="264"/>
      <c r="C102" s="265"/>
      <c r="D102" s="265"/>
      <c r="E102" s="265"/>
      <c r="F102" s="264"/>
      <c r="G102" s="264"/>
      <c r="H102" s="264"/>
      <c r="N102" s="104" t="s">
        <v>233</v>
      </c>
      <c r="U102" s="29">
        <v>1</v>
      </c>
      <c r="V102" s="29">
        <f>IF((U96=2),"","March,10")</f>
      </c>
      <c r="X102" s="29">
        <f>IF((U96=2),"","1")</f>
      </c>
      <c r="Z102" s="1"/>
      <c r="AA102" s="47">
        <v>4</v>
      </c>
      <c r="AB102" s="48">
        <v>7300</v>
      </c>
      <c r="AC102" s="109">
        <v>4150</v>
      </c>
      <c r="AD102" s="109">
        <v>4260</v>
      </c>
      <c r="AE102" s="47">
        <v>7300</v>
      </c>
      <c r="AF102" s="29">
        <v>7520</v>
      </c>
      <c r="AG102" s="29">
        <v>7740</v>
      </c>
      <c r="AJ102" s="1"/>
      <c r="AK102" s="30" t="str">
        <f>IF((AJ98=2),"","June,10")</f>
        <v>June,10</v>
      </c>
      <c r="AL102" s="47">
        <f>TABLE!C7</f>
        <v>14860</v>
      </c>
      <c r="AM102" s="29">
        <f t="shared" si="5"/>
        <v>2417</v>
      </c>
      <c r="AN102" s="29">
        <f t="shared" si="6"/>
        <v>1399</v>
      </c>
      <c r="AO102" s="29">
        <f t="shared" si="4"/>
        <v>1018</v>
      </c>
      <c r="AP102" s="29">
        <f>SUM(AO97:AO104)</f>
        <v>6080</v>
      </c>
    </row>
    <row r="103" spans="1:41" ht="26.25" customHeight="1">
      <c r="A103" s="28"/>
      <c r="B103" s="264"/>
      <c r="C103" s="265"/>
      <c r="D103" s="265"/>
      <c r="E103" s="265"/>
      <c r="F103" s="264"/>
      <c r="G103" s="264"/>
      <c r="H103" s="264"/>
      <c r="N103" s="104" t="s">
        <v>540</v>
      </c>
      <c r="U103" s="29">
        <v>2</v>
      </c>
      <c r="V103" s="29">
        <f>IF((U96=2),"","April,10")</f>
      </c>
      <c r="X103" s="99">
        <v>2</v>
      </c>
      <c r="Z103" s="1"/>
      <c r="AA103" s="47">
        <v>5</v>
      </c>
      <c r="AB103" s="48">
        <v>7520</v>
      </c>
      <c r="AC103" s="109">
        <v>4260</v>
      </c>
      <c r="AD103" s="109">
        <v>4370</v>
      </c>
      <c r="AE103" s="47">
        <v>7520</v>
      </c>
      <c r="AF103" s="29">
        <v>7740</v>
      </c>
      <c r="AG103" s="29">
        <v>7960</v>
      </c>
      <c r="AJ103" s="1"/>
      <c r="AK103" s="30" t="s">
        <v>300</v>
      </c>
      <c r="AL103" s="47">
        <f>IF(AND((AA65=1),(O112&lt;5)),F125,0)</f>
        <v>0</v>
      </c>
      <c r="AM103" s="29">
        <f t="shared" si="5"/>
        <v>0</v>
      </c>
      <c r="AN103" s="29">
        <f t="shared" si="6"/>
        <v>0</v>
      </c>
      <c r="AO103" s="29">
        <f t="shared" si="4"/>
        <v>0</v>
      </c>
    </row>
    <row r="104" spans="1:41" ht="26.25" customHeight="1">
      <c r="A104" s="28"/>
      <c r="B104" s="264"/>
      <c r="C104" s="265"/>
      <c r="D104" s="265"/>
      <c r="E104" s="265"/>
      <c r="F104" s="264"/>
      <c r="G104" s="264"/>
      <c r="H104" s="264"/>
      <c r="U104" s="29">
        <v>3</v>
      </c>
      <c r="V104" s="29">
        <f>IF((U96=2),"","May,10")</f>
      </c>
      <c r="X104" s="29">
        <f>IF((U96=2),"","3")</f>
      </c>
      <c r="Z104" s="1"/>
      <c r="AA104" s="47">
        <v>6</v>
      </c>
      <c r="AB104" s="48">
        <v>7740</v>
      </c>
      <c r="AC104" s="109">
        <v>4370</v>
      </c>
      <c r="AD104" s="109">
        <v>4480</v>
      </c>
      <c r="AE104" s="47">
        <v>7740</v>
      </c>
      <c r="AF104" s="29">
        <v>7960</v>
      </c>
      <c r="AG104" s="29">
        <v>8200</v>
      </c>
      <c r="AJ104" s="1"/>
      <c r="AK104" s="30" t="s">
        <v>87</v>
      </c>
      <c r="AL104" s="47">
        <f>IF(AND((U96=1),(L127&lt;5)),F133,0)</f>
        <v>0</v>
      </c>
      <c r="AM104" s="29">
        <f t="shared" si="5"/>
        <v>0</v>
      </c>
      <c r="AN104" s="29">
        <f t="shared" si="6"/>
        <v>0</v>
      </c>
      <c r="AO104" s="29">
        <f t="shared" si="4"/>
        <v>0</v>
      </c>
    </row>
    <row r="105" spans="1:37" ht="26.25" customHeight="1">
      <c r="A105" s="28"/>
      <c r="B105" s="264"/>
      <c r="C105" s="265"/>
      <c r="D105" s="265"/>
      <c r="E105" s="265"/>
      <c r="F105" s="264"/>
      <c r="G105" s="264"/>
      <c r="H105" s="264"/>
      <c r="U105" s="29">
        <v>4</v>
      </c>
      <c r="V105" s="29">
        <f>IF((U96=2),"","June,10")</f>
      </c>
      <c r="X105" s="29">
        <f>IF((U96=2),"","4")</f>
      </c>
      <c r="Z105" s="1"/>
      <c r="AA105" s="47">
        <v>7</v>
      </c>
      <c r="AB105" s="48">
        <v>7960</v>
      </c>
      <c r="AC105" s="109">
        <v>4480</v>
      </c>
      <c r="AD105" s="109">
        <v>4595</v>
      </c>
      <c r="AE105" s="47">
        <v>7960</v>
      </c>
      <c r="AF105" s="29">
        <v>8200</v>
      </c>
      <c r="AG105" s="29">
        <v>8440</v>
      </c>
      <c r="AK105" s="20"/>
    </row>
    <row r="106" spans="1:40" ht="26.25" customHeight="1">
      <c r="A106" s="28"/>
      <c r="B106" s="264"/>
      <c r="C106" s="265"/>
      <c r="D106" s="265"/>
      <c r="E106" s="265"/>
      <c r="F106" s="264"/>
      <c r="G106" s="264"/>
      <c r="H106" s="264"/>
      <c r="N106" s="104" t="s">
        <v>420</v>
      </c>
      <c r="U106" s="29">
        <v>5</v>
      </c>
      <c r="V106" s="29">
        <f>IF((U96=2),"","July,10")</f>
      </c>
      <c r="X106" s="29">
        <f>IF((U96=2),"","5")</f>
      </c>
      <c r="Z106" s="1"/>
      <c r="AA106" s="47">
        <v>8</v>
      </c>
      <c r="AB106" s="48">
        <v>8200</v>
      </c>
      <c r="AC106" s="109">
        <v>4595</v>
      </c>
      <c r="AD106" s="109">
        <v>4710</v>
      </c>
      <c r="AE106" s="47">
        <v>8200</v>
      </c>
      <c r="AF106" s="29">
        <v>8440</v>
      </c>
      <c r="AG106" s="29">
        <v>8680</v>
      </c>
      <c r="AK106" s="5"/>
      <c r="AM106" s="29" t="s">
        <v>151</v>
      </c>
      <c r="AN106" s="29" t="s">
        <v>173</v>
      </c>
    </row>
    <row r="107" spans="1:41" ht="26.25" customHeight="1">
      <c r="A107" s="28"/>
      <c r="B107" s="264"/>
      <c r="C107" s="265"/>
      <c r="D107" s="265"/>
      <c r="E107" s="265"/>
      <c r="F107" s="264"/>
      <c r="G107" s="264"/>
      <c r="H107" s="264"/>
      <c r="N107" s="104" t="s">
        <v>108</v>
      </c>
      <c r="U107" s="29">
        <v>6</v>
      </c>
      <c r="V107" s="29">
        <f>IF((U96=2),"","Aug,10")</f>
      </c>
      <c r="X107" s="29">
        <f>IF((U96=2),"","6")</f>
      </c>
      <c r="Z107" s="1"/>
      <c r="AA107" s="47">
        <v>9</v>
      </c>
      <c r="AB107" s="48">
        <v>8440</v>
      </c>
      <c r="AC107" s="109">
        <v>4710</v>
      </c>
      <c r="AD107" s="109">
        <v>4825</v>
      </c>
      <c r="AE107" s="47">
        <v>8440</v>
      </c>
      <c r="AF107" s="29">
        <v>8680</v>
      </c>
      <c r="AG107" s="29">
        <v>8940</v>
      </c>
      <c r="AJ107" s="1"/>
      <c r="AK107" s="30" t="str">
        <f>IF((AJ98=2),"","July,10")</f>
        <v>July,10</v>
      </c>
      <c r="AL107" s="47">
        <f>TABLE!C8</f>
        <v>14860</v>
      </c>
      <c r="AM107" s="29">
        <f aca="true" t="shared" si="7" ref="AM107:AM114">ROUND(((AL107*24.824)/100),0.1)</f>
        <v>3689</v>
      </c>
      <c r="AN107" s="29">
        <f aca="true" t="shared" si="8" ref="AN107:AN114">ROUND(((AL107*16.264)/100),0.1)</f>
        <v>2417</v>
      </c>
      <c r="AO107" s="29">
        <f aca="true" t="shared" si="9" ref="AO107:AO114">AM107-AN107</f>
        <v>1272</v>
      </c>
    </row>
    <row r="108" spans="1:41" ht="26.25" customHeight="1">
      <c r="A108" s="28"/>
      <c r="B108" s="264"/>
      <c r="C108" s="265"/>
      <c r="D108" s="265"/>
      <c r="E108" s="265"/>
      <c r="F108" s="264"/>
      <c r="G108" s="264"/>
      <c r="H108" s="264"/>
      <c r="U108" s="29">
        <v>7</v>
      </c>
      <c r="V108" s="29">
        <f>IF((U96=2),"","Sept,10")</f>
      </c>
      <c r="X108" s="29">
        <f>IF((U96=2),"","7")</f>
      </c>
      <c r="Z108" s="1"/>
      <c r="AA108" s="47">
        <v>10</v>
      </c>
      <c r="AB108" s="48">
        <v>8680</v>
      </c>
      <c r="AC108" s="109">
        <v>4825</v>
      </c>
      <c r="AD108" s="109">
        <v>4950</v>
      </c>
      <c r="AE108" s="47">
        <v>8680</v>
      </c>
      <c r="AF108" s="29">
        <v>8940</v>
      </c>
      <c r="AG108" s="29">
        <v>9200</v>
      </c>
      <c r="AJ108" s="1"/>
      <c r="AK108" s="30" t="str">
        <f>IF((AJ98=2),"","Aug,10")</f>
        <v>Aug,10</v>
      </c>
      <c r="AL108" s="47">
        <f>TABLE!C9</f>
        <v>14860</v>
      </c>
      <c r="AM108" s="29">
        <f t="shared" si="7"/>
        <v>3689</v>
      </c>
      <c r="AN108" s="29">
        <f t="shared" si="8"/>
        <v>2417</v>
      </c>
      <c r="AO108" s="29">
        <f t="shared" si="9"/>
        <v>1272</v>
      </c>
    </row>
    <row r="109" spans="1:41" ht="26.25" customHeight="1">
      <c r="A109" s="28"/>
      <c r="B109" s="264"/>
      <c r="C109" s="265"/>
      <c r="D109" s="265"/>
      <c r="E109" s="265"/>
      <c r="F109" s="264"/>
      <c r="G109" s="264"/>
      <c r="H109" s="264"/>
      <c r="U109" s="29">
        <v>8</v>
      </c>
      <c r="V109" s="29">
        <f>IF((U96=2),"","Oct,10")</f>
      </c>
      <c r="X109" s="29">
        <f>IF((U96=2),"","8")</f>
      </c>
      <c r="Z109" s="1"/>
      <c r="AA109" s="47">
        <v>11</v>
      </c>
      <c r="AB109" s="48">
        <v>8940</v>
      </c>
      <c r="AC109" s="109">
        <v>4950</v>
      </c>
      <c r="AD109" s="109">
        <v>5075</v>
      </c>
      <c r="AE109" s="47">
        <v>8940</v>
      </c>
      <c r="AF109" s="29">
        <v>9200</v>
      </c>
      <c r="AG109" s="29">
        <v>9460</v>
      </c>
      <c r="AJ109" s="1"/>
      <c r="AK109" s="30" t="str">
        <f>IF((AJ98=2),"","Sept,10")</f>
        <v>Sept,10</v>
      </c>
      <c r="AL109" s="47">
        <f>TABLE!C10</f>
        <v>14860</v>
      </c>
      <c r="AM109" s="29">
        <f t="shared" si="7"/>
        <v>3689</v>
      </c>
      <c r="AN109" s="29">
        <f t="shared" si="8"/>
        <v>2417</v>
      </c>
      <c r="AO109" s="29">
        <f t="shared" si="9"/>
        <v>1272</v>
      </c>
    </row>
    <row r="110" spans="1:41" ht="26.25" customHeight="1">
      <c r="A110" s="28"/>
      <c r="B110" s="264"/>
      <c r="C110" s="265"/>
      <c r="D110" s="265"/>
      <c r="E110" s="265"/>
      <c r="F110" s="264"/>
      <c r="G110" s="264"/>
      <c r="H110" s="264"/>
      <c r="U110" s="29">
        <v>9</v>
      </c>
      <c r="V110" s="29">
        <f>IF((U96=2),"","Nov,10")</f>
      </c>
      <c r="X110" s="29">
        <f>IF((U96=2),"","9")</f>
      </c>
      <c r="Z110" s="1"/>
      <c r="AA110" s="47">
        <v>12</v>
      </c>
      <c r="AB110" s="48">
        <v>9200</v>
      </c>
      <c r="AC110" s="109">
        <v>5075</v>
      </c>
      <c r="AD110" s="109">
        <v>5200</v>
      </c>
      <c r="AE110" s="47">
        <v>9200</v>
      </c>
      <c r="AF110" s="29">
        <v>9460</v>
      </c>
      <c r="AG110" s="29">
        <v>9740</v>
      </c>
      <c r="AJ110" s="1"/>
      <c r="AK110" s="30" t="str">
        <f>IF((AJ98=2),"","Oct,10")</f>
        <v>Oct,10</v>
      </c>
      <c r="AL110" s="47">
        <f>TABLE!C11</f>
        <v>14860</v>
      </c>
      <c r="AM110" s="29">
        <f t="shared" si="7"/>
        <v>3689</v>
      </c>
      <c r="AN110" s="29">
        <f t="shared" si="8"/>
        <v>2417</v>
      </c>
      <c r="AO110" s="29">
        <f t="shared" si="9"/>
        <v>1272</v>
      </c>
    </row>
    <row r="111" spans="1:41" ht="26.25" customHeight="1">
      <c r="A111" s="28"/>
      <c r="B111" s="264"/>
      <c r="C111" s="265"/>
      <c r="D111" s="265"/>
      <c r="E111" s="265"/>
      <c r="F111" s="264"/>
      <c r="G111" s="264"/>
      <c r="H111" s="264"/>
      <c r="U111" s="29">
        <v>10</v>
      </c>
      <c r="V111" s="29">
        <f>IF((U96=2),"","Dec,10")</f>
      </c>
      <c r="X111" s="29">
        <f>IF((U96=2),"","10")</f>
      </c>
      <c r="Z111" s="1"/>
      <c r="AA111" s="47">
        <v>13</v>
      </c>
      <c r="AB111" s="48">
        <v>9460</v>
      </c>
      <c r="AC111" s="109">
        <v>5200</v>
      </c>
      <c r="AD111" s="109">
        <v>5335</v>
      </c>
      <c r="AE111" s="47">
        <v>9460</v>
      </c>
      <c r="AF111" s="29">
        <v>9740</v>
      </c>
      <c r="AG111" s="29">
        <v>10020</v>
      </c>
      <c r="AJ111" s="1"/>
      <c r="AK111" s="30" t="str">
        <f>IF((AJ98=2),"","Nov,10")</f>
        <v>Nov,10</v>
      </c>
      <c r="AL111" s="47">
        <f>TABLE!C12</f>
        <v>14860</v>
      </c>
      <c r="AM111" s="29">
        <f t="shared" si="7"/>
        <v>3689</v>
      </c>
      <c r="AN111" s="29">
        <f t="shared" si="8"/>
        <v>2417</v>
      </c>
      <c r="AO111" s="29">
        <f t="shared" si="9"/>
        <v>1272</v>
      </c>
    </row>
    <row r="112" spans="1:42" ht="26.25" customHeight="1">
      <c r="A112" s="28"/>
      <c r="B112" s="264"/>
      <c r="C112" s="265"/>
      <c r="D112" s="265"/>
      <c r="E112" s="265"/>
      <c r="F112" s="264"/>
      <c r="G112" s="264"/>
      <c r="H112" s="264"/>
      <c r="N112" s="29">
        <f>Y65</f>
        <v>17</v>
      </c>
      <c r="O112" s="29">
        <f>AA87</f>
        <v>8</v>
      </c>
      <c r="U112" s="29">
        <v>11</v>
      </c>
      <c r="V112" s="29">
        <f>IF((U96=2),"","Jan,11")</f>
      </c>
      <c r="X112" s="29">
        <f>IF((U96=2),"","11")</f>
      </c>
      <c r="Z112" s="1"/>
      <c r="AA112" s="47">
        <v>14</v>
      </c>
      <c r="AB112" s="48">
        <v>9740</v>
      </c>
      <c r="AC112" s="109">
        <v>5335</v>
      </c>
      <c r="AD112" s="109">
        <v>5470</v>
      </c>
      <c r="AE112" s="47">
        <v>9740</v>
      </c>
      <c r="AF112" s="29">
        <v>10020</v>
      </c>
      <c r="AG112" s="29">
        <v>10300</v>
      </c>
      <c r="AJ112" s="1"/>
      <c r="AK112" s="30" t="s">
        <v>137</v>
      </c>
      <c r="AL112" s="47">
        <f>IF((AE68&gt;11),0,AH88)</f>
        <v>0</v>
      </c>
      <c r="AM112" s="29">
        <f t="shared" si="7"/>
        <v>0</v>
      </c>
      <c r="AN112" s="29">
        <f t="shared" si="8"/>
        <v>0</v>
      </c>
      <c r="AO112" s="29">
        <f t="shared" si="9"/>
        <v>0</v>
      </c>
      <c r="AP112" s="29">
        <f>SUM(AO107:AO114)</f>
        <v>6360</v>
      </c>
    </row>
    <row r="113" spans="1:41" ht="26.25" customHeight="1">
      <c r="A113" s="28"/>
      <c r="B113" s="264"/>
      <c r="C113" s="265"/>
      <c r="D113" s="265"/>
      <c r="E113" s="265"/>
      <c r="F113" s="264"/>
      <c r="G113" s="264"/>
      <c r="H113" s="264"/>
      <c r="N113" s="29">
        <f>VLOOKUP(O112,O115:Q126,3,0)</f>
        <v>31</v>
      </c>
      <c r="O113" s="65" t="str">
        <f>VLOOKUP((O112+1),AA71:AC83,3,0)</f>
        <v>10</v>
      </c>
      <c r="P113" s="29">
        <f>IF((O113&gt;2),2010,2011)</f>
        <v>2010</v>
      </c>
      <c r="U113" s="29">
        <v>12</v>
      </c>
      <c r="V113" s="29">
        <f>IF((U96=2),"","Feb,11")</f>
      </c>
      <c r="X113" s="29">
        <f>IF((U96=2),"","12")</f>
      </c>
      <c r="Z113" s="1"/>
      <c r="AA113" s="47">
        <v>15</v>
      </c>
      <c r="AB113" s="48">
        <v>10020</v>
      </c>
      <c r="AC113" s="109">
        <v>5470</v>
      </c>
      <c r="AD113" s="109">
        <v>5605</v>
      </c>
      <c r="AE113" s="47">
        <v>10020</v>
      </c>
      <c r="AF113" s="29">
        <v>10300</v>
      </c>
      <c r="AG113" s="29">
        <v>10600</v>
      </c>
      <c r="AK113" s="78" t="s">
        <v>300</v>
      </c>
      <c r="AL113" s="29">
        <f>IF(AND((AA65=1),(O112&gt;4),(O112&lt;10)),F125,0)</f>
        <v>0</v>
      </c>
      <c r="AM113" s="29">
        <f t="shared" si="7"/>
        <v>0</v>
      </c>
      <c r="AN113" s="29">
        <f t="shared" si="8"/>
        <v>0</v>
      </c>
      <c r="AO113" s="29">
        <f t="shared" si="9"/>
        <v>0</v>
      </c>
    </row>
    <row r="114" spans="1:41" ht="26.25" customHeight="1">
      <c r="A114" s="28"/>
      <c r="B114" s="264"/>
      <c r="C114" s="265"/>
      <c r="D114" s="265"/>
      <c r="E114" s="265"/>
      <c r="F114" s="264"/>
      <c r="G114" s="264"/>
      <c r="H114" s="264"/>
      <c r="X114" s="29">
        <f>IF((U96=2),"","13")</f>
      </c>
      <c r="Z114" s="1"/>
      <c r="AA114" s="47">
        <v>16</v>
      </c>
      <c r="AB114" s="48">
        <v>10300</v>
      </c>
      <c r="AC114" s="109">
        <v>5605</v>
      </c>
      <c r="AD114" s="109">
        <v>5750</v>
      </c>
      <c r="AE114" s="47">
        <v>10300</v>
      </c>
      <c r="AF114" s="29">
        <v>10600</v>
      </c>
      <c r="AG114" s="29">
        <v>10900</v>
      </c>
      <c r="AK114" s="29" t="s">
        <v>87</v>
      </c>
      <c r="AL114" s="29">
        <f>IF(AND((U96=1),(L127&gt;4),(L127&lt;10)),F133,0)</f>
        <v>0</v>
      </c>
      <c r="AM114" s="29">
        <f t="shared" si="7"/>
        <v>0</v>
      </c>
      <c r="AN114" s="29">
        <f t="shared" si="8"/>
        <v>0</v>
      </c>
      <c r="AO114" s="29">
        <f t="shared" si="9"/>
        <v>0</v>
      </c>
    </row>
    <row r="115" spans="1:33" ht="26.25" customHeight="1">
      <c r="A115" s="28"/>
      <c r="B115" s="264"/>
      <c r="C115" s="265"/>
      <c r="D115" s="265"/>
      <c r="E115" s="265"/>
      <c r="F115" s="264"/>
      <c r="G115" s="264"/>
      <c r="H115" s="264"/>
      <c r="L115" s="29" t="str">
        <f>CONCATENATE(N112,"-",N113,"/",O113,"/",P113)</f>
        <v>17-31/10/2010</v>
      </c>
      <c r="O115" s="29">
        <v>1</v>
      </c>
      <c r="P115" s="29" t="str">
        <f>IF((O114=2),"","March,10")</f>
        <v>March,10</v>
      </c>
      <c r="Q115" s="29">
        <v>31</v>
      </c>
      <c r="X115" s="29">
        <f>IF((U96=2),"","14")</f>
      </c>
      <c r="Z115" s="1"/>
      <c r="AA115" s="47">
        <v>17</v>
      </c>
      <c r="AB115" s="48">
        <v>10600</v>
      </c>
      <c r="AC115" s="109">
        <v>5750</v>
      </c>
      <c r="AD115" s="109">
        <v>5895</v>
      </c>
      <c r="AE115" s="47">
        <v>10600</v>
      </c>
      <c r="AF115" s="29">
        <v>10900</v>
      </c>
      <c r="AG115" s="29">
        <v>11200</v>
      </c>
    </row>
    <row r="116" spans="1:33" ht="26.25" customHeight="1">
      <c r="A116" s="28"/>
      <c r="B116" s="264"/>
      <c r="C116" s="265"/>
      <c r="D116" s="265"/>
      <c r="E116" s="265"/>
      <c r="F116" s="264"/>
      <c r="G116" s="264"/>
      <c r="H116" s="264"/>
      <c r="O116" s="29">
        <v>2</v>
      </c>
      <c r="P116" s="29" t="str">
        <f>IF((O114=2),"","April,10")</f>
        <v>April,10</v>
      </c>
      <c r="Q116" s="29">
        <v>30</v>
      </c>
      <c r="X116" s="29">
        <f>IF((U96=2),"","15")</f>
      </c>
      <c r="Z116" s="1"/>
      <c r="AA116" s="47">
        <v>18</v>
      </c>
      <c r="AB116" s="48">
        <v>10900</v>
      </c>
      <c r="AC116" s="109">
        <v>5895</v>
      </c>
      <c r="AD116" s="109">
        <v>6040</v>
      </c>
      <c r="AE116" s="47">
        <v>10900</v>
      </c>
      <c r="AF116" s="29">
        <v>11200</v>
      </c>
      <c r="AG116" s="29">
        <v>11530</v>
      </c>
    </row>
    <row r="117" spans="1:33" ht="26.25" customHeight="1">
      <c r="A117" s="28"/>
      <c r="B117" s="264"/>
      <c r="C117" s="265"/>
      <c r="D117" s="265"/>
      <c r="E117" s="265"/>
      <c r="F117" s="264"/>
      <c r="G117" s="264"/>
      <c r="H117" s="264"/>
      <c r="L117" s="352">
        <f>VLOOKUP((O112+1),AN23:AP50,3,0)</f>
        <v>14860</v>
      </c>
      <c r="M117" s="352"/>
      <c r="O117" s="29">
        <v>3</v>
      </c>
      <c r="P117" s="29" t="str">
        <f>IF((O114=2),"","May,10")</f>
        <v>May,10</v>
      </c>
      <c r="Q117" s="29">
        <v>31</v>
      </c>
      <c r="T117" s="29">
        <v>1</v>
      </c>
      <c r="U117" s="29">
        <f>VLOOKUP(T117,T118:U119,2,0)</f>
      </c>
      <c r="X117" s="29">
        <f>IF((U96=2),"","16")</f>
      </c>
      <c r="Z117" s="1"/>
      <c r="AA117" s="47">
        <v>19</v>
      </c>
      <c r="AB117" s="48">
        <v>11200</v>
      </c>
      <c r="AC117" s="109">
        <v>6040</v>
      </c>
      <c r="AD117" s="109">
        <v>6195</v>
      </c>
      <c r="AE117" s="47">
        <v>11200</v>
      </c>
      <c r="AF117" s="29">
        <v>11530</v>
      </c>
      <c r="AG117" s="29">
        <v>11860</v>
      </c>
    </row>
    <row r="118" spans="1:33" ht="26.25" customHeight="1">
      <c r="A118" s="28"/>
      <c r="B118" s="264"/>
      <c r="C118" s="265"/>
      <c r="D118" s="265"/>
      <c r="E118" s="265"/>
      <c r="F118" s="264"/>
      <c r="G118" s="264"/>
      <c r="H118" s="264"/>
      <c r="L118" s="352">
        <f>VLOOKUP((O112+2),AN23:AP50,3,0)</f>
        <v>14860</v>
      </c>
      <c r="M118" s="352"/>
      <c r="O118" s="29">
        <v>4</v>
      </c>
      <c r="P118" s="29" t="str">
        <f>IF((O114=2),"","June,10")</f>
        <v>June,10</v>
      </c>
      <c r="Q118" s="29">
        <v>30</v>
      </c>
      <c r="T118" s="29">
        <v>1</v>
      </c>
      <c r="U118" s="29">
        <f>IF((U96=1),"Promotion Date","")</f>
      </c>
      <c r="X118" s="29">
        <f>IF((U96=2),"","17")</f>
      </c>
      <c r="Z118" s="1"/>
      <c r="AA118" s="47">
        <v>20</v>
      </c>
      <c r="AB118" s="48">
        <v>11530</v>
      </c>
      <c r="AC118" s="109">
        <v>6195</v>
      </c>
      <c r="AD118" s="109">
        <v>6350</v>
      </c>
      <c r="AE118" s="47">
        <v>11530</v>
      </c>
      <c r="AF118" s="29">
        <v>11860</v>
      </c>
      <c r="AG118" s="29">
        <v>12190</v>
      </c>
    </row>
    <row r="119" spans="1:33" ht="26.25" customHeight="1">
      <c r="A119" s="28"/>
      <c r="B119" s="264"/>
      <c r="C119" s="265"/>
      <c r="D119" s="265"/>
      <c r="E119" s="265"/>
      <c r="F119" s="264"/>
      <c r="G119" s="264"/>
      <c r="H119" s="264"/>
      <c r="O119" s="29">
        <v>5</v>
      </c>
      <c r="P119" s="29" t="str">
        <f>IF((O114=2),"","July,10")</f>
        <v>July,10</v>
      </c>
      <c r="Q119" s="29">
        <v>31</v>
      </c>
      <c r="T119" s="29">
        <v>2</v>
      </c>
      <c r="U119" s="29">
        <f>IF((U96=1),"Increment Date","")</f>
      </c>
      <c r="X119" s="29">
        <f>IF((U96=2),"","18")</f>
      </c>
      <c r="Z119" s="1"/>
      <c r="AA119" s="47">
        <v>21</v>
      </c>
      <c r="AB119" s="48">
        <v>11860</v>
      </c>
      <c r="AC119" s="109">
        <v>6350</v>
      </c>
      <c r="AD119" s="109">
        <v>6505</v>
      </c>
      <c r="AE119" s="47">
        <v>11860</v>
      </c>
      <c r="AF119" s="29">
        <v>12190</v>
      </c>
      <c r="AG119" s="29">
        <v>12550</v>
      </c>
    </row>
    <row r="120" spans="1:33" ht="26.25" customHeight="1">
      <c r="A120" s="28"/>
      <c r="B120" s="264"/>
      <c r="C120" s="265"/>
      <c r="D120" s="265"/>
      <c r="E120" s="265"/>
      <c r="F120" s="264"/>
      <c r="G120" s="264"/>
      <c r="H120" s="264"/>
      <c r="L120" s="353">
        <f>VLOOKUP((O112+1),AN23:AQ50,4,0)</f>
        <v>16.264</v>
      </c>
      <c r="M120" s="353"/>
      <c r="O120" s="29">
        <v>6</v>
      </c>
      <c r="P120" s="29" t="str">
        <f>IF((O114=2),"","Aug,10")</f>
        <v>Aug,10</v>
      </c>
      <c r="Q120" s="29">
        <v>31</v>
      </c>
      <c r="X120" s="29">
        <f>IF((U96=2),"","19")</f>
      </c>
      <c r="Z120" s="1"/>
      <c r="AA120" s="47">
        <v>22</v>
      </c>
      <c r="AB120" s="48">
        <v>12190</v>
      </c>
      <c r="AC120" s="109">
        <v>6505</v>
      </c>
      <c r="AD120" s="109">
        <v>6675</v>
      </c>
      <c r="AE120" s="47">
        <v>12190</v>
      </c>
      <c r="AF120" s="29">
        <v>12550</v>
      </c>
      <c r="AG120" s="29">
        <v>12910</v>
      </c>
    </row>
    <row r="121" spans="1:33" ht="26.25" customHeight="1">
      <c r="A121" s="28"/>
      <c r="B121" s="264"/>
      <c r="C121" s="265"/>
      <c r="D121" s="265"/>
      <c r="E121" s="265"/>
      <c r="F121" s="264"/>
      <c r="G121" s="264"/>
      <c r="H121" s="264"/>
      <c r="L121" s="29">
        <f>VLOOKUP((O112+1),N48:Q59,4,)</f>
        <v>10</v>
      </c>
      <c r="O121" s="29">
        <v>7</v>
      </c>
      <c r="P121" s="29" t="str">
        <f>IF((O114=2),"","Sept,10")</f>
        <v>Sept,10</v>
      </c>
      <c r="Q121" s="29">
        <v>30</v>
      </c>
      <c r="T121" s="5"/>
      <c r="U121" s="81" t="s">
        <v>549</v>
      </c>
      <c r="V121" s="5"/>
      <c r="X121" s="29">
        <f>IF((U96=2),"","20")</f>
      </c>
      <c r="Z121" s="1"/>
      <c r="AA121" s="47">
        <v>23</v>
      </c>
      <c r="AB121" s="48">
        <v>12550</v>
      </c>
      <c r="AC121" s="109">
        <v>6675</v>
      </c>
      <c r="AD121" s="109">
        <v>6845</v>
      </c>
      <c r="AE121" s="47">
        <v>12550</v>
      </c>
      <c r="AF121" s="29">
        <v>12910</v>
      </c>
      <c r="AG121" s="29">
        <v>13270</v>
      </c>
    </row>
    <row r="122" spans="1:33" ht="26.25" customHeight="1">
      <c r="A122" s="28"/>
      <c r="B122" s="264"/>
      <c r="C122" s="266" t="str">
        <f>IF((AA65=2),CONCATENATE("No AAS Arrears"),CONCATENATE("AAS  Arrears                                           ",L115))</f>
        <v>No AAS Arrears</v>
      </c>
      <c r="D122" s="265"/>
      <c r="E122" s="265"/>
      <c r="F122" s="264"/>
      <c r="G122" s="264"/>
      <c r="H122" s="264"/>
      <c r="O122" s="29">
        <v>8</v>
      </c>
      <c r="P122" s="29" t="str">
        <f>IF((O114=2),"","Oct,10")</f>
        <v>Oct,10</v>
      </c>
      <c r="Q122" s="29">
        <v>31</v>
      </c>
      <c r="S122" s="1"/>
      <c r="T122" s="31">
        <v>2</v>
      </c>
      <c r="U122" s="33">
        <f>VLOOKUP(T122,T123:U127,2,0)</f>
        <v>10</v>
      </c>
      <c r="V122" s="82"/>
      <c r="W122" s="4"/>
      <c r="X122" s="29">
        <f>IF((U96=2),"","21")</f>
      </c>
      <c r="Z122" s="1"/>
      <c r="AA122" s="47">
        <v>24</v>
      </c>
      <c r="AB122" s="48">
        <v>12910</v>
      </c>
      <c r="AC122" s="109">
        <v>6845</v>
      </c>
      <c r="AD122" s="109">
        <v>7015</v>
      </c>
      <c r="AE122" s="47">
        <v>12910</v>
      </c>
      <c r="AF122" s="29">
        <v>13270</v>
      </c>
      <c r="AG122" s="29">
        <v>13660</v>
      </c>
    </row>
    <row r="123" spans="1:33" ht="26.25" customHeight="1">
      <c r="A123" s="28"/>
      <c r="B123" s="264"/>
      <c r="C123" s="265">
        <f>ROUND(((L117*((N113-N112)+1))/N113),0.1)</f>
        <v>7190</v>
      </c>
      <c r="D123" s="265">
        <f>ROUND((C123*(L120/100)),0.1)</f>
        <v>1169</v>
      </c>
      <c r="E123" s="265">
        <f>ROUND((C123*(L121/100)),0.1)</f>
        <v>719</v>
      </c>
      <c r="F123" s="264"/>
      <c r="G123" s="264"/>
      <c r="H123" s="264"/>
      <c r="O123" s="29">
        <v>9</v>
      </c>
      <c r="P123" s="29" t="str">
        <f>IF((O114=2),"","Nov,10")</f>
        <v>Nov,10</v>
      </c>
      <c r="Q123" s="29">
        <v>30</v>
      </c>
      <c r="S123" s="1"/>
      <c r="T123" s="43">
        <v>1</v>
      </c>
      <c r="U123" s="78">
        <v>0</v>
      </c>
      <c r="V123" s="48"/>
      <c r="W123" s="4"/>
      <c r="X123" s="29">
        <f>IF((U96=2),"","22")</f>
      </c>
      <c r="Z123" s="1"/>
      <c r="AA123" s="47">
        <v>25</v>
      </c>
      <c r="AB123" s="48">
        <v>13270</v>
      </c>
      <c r="AC123" s="109">
        <v>7015</v>
      </c>
      <c r="AD123" s="109">
        <v>7200</v>
      </c>
      <c r="AE123" s="47">
        <v>13270</v>
      </c>
      <c r="AF123" s="29">
        <v>13660</v>
      </c>
      <c r="AG123" s="29">
        <v>14050</v>
      </c>
    </row>
    <row r="124" spans="1:33" ht="26.25" customHeight="1">
      <c r="A124" s="28"/>
      <c r="B124" s="264"/>
      <c r="C124" s="265">
        <f>ROUND(((L118*((N113-N112)+1))/N113),0.1)</f>
        <v>7190</v>
      </c>
      <c r="D124" s="265">
        <f>ROUND((C124*(L120/100)),0.1)</f>
        <v>1169</v>
      </c>
      <c r="E124" s="265">
        <f>ROUND((C124*(L121/100)),0.1)</f>
        <v>719</v>
      </c>
      <c r="F124" s="261">
        <f>C124-C123</f>
        <v>0</v>
      </c>
      <c r="G124" s="261">
        <f>D124-D123</f>
        <v>0</v>
      </c>
      <c r="H124" s="261">
        <f>E124-E123</f>
        <v>0</v>
      </c>
      <c r="O124" s="29">
        <v>10</v>
      </c>
      <c r="P124" s="29" t="str">
        <f>IF((O114=2),"","Dec,10")</f>
        <v>Dec,10</v>
      </c>
      <c r="Q124" s="29">
        <v>31</v>
      </c>
      <c r="S124" s="1"/>
      <c r="T124" s="47">
        <v>2</v>
      </c>
      <c r="U124" s="29">
        <v>10</v>
      </c>
      <c r="V124" s="48"/>
      <c r="W124" s="4"/>
      <c r="X124" s="29">
        <f>IF((U96=2),"","23")</f>
      </c>
      <c r="Z124" s="1"/>
      <c r="AA124" s="47">
        <v>26</v>
      </c>
      <c r="AB124" s="48">
        <v>13660</v>
      </c>
      <c r="AC124" s="109">
        <v>7200</v>
      </c>
      <c r="AD124" s="109">
        <v>7385</v>
      </c>
      <c r="AE124" s="47">
        <v>13660</v>
      </c>
      <c r="AF124" s="29">
        <v>14050</v>
      </c>
      <c r="AG124" s="29">
        <v>14440</v>
      </c>
    </row>
    <row r="125" spans="1:33" ht="26.25" customHeight="1">
      <c r="A125" s="28"/>
      <c r="B125" s="264"/>
      <c r="C125" s="265"/>
      <c r="D125" s="265"/>
      <c r="E125" s="265"/>
      <c r="F125" s="261">
        <f>IF((AA65=2),0,F124)</f>
        <v>0</v>
      </c>
      <c r="G125" s="261">
        <f>IF((AA65=2),0,G124)</f>
        <v>0</v>
      </c>
      <c r="H125" s="261">
        <f>IF((AA65=2),0,H124)</f>
        <v>0</v>
      </c>
      <c r="O125" s="29">
        <v>11</v>
      </c>
      <c r="P125" s="29" t="str">
        <f>IF((O114=2),"","Jan,11")</f>
        <v>Jan,11</v>
      </c>
      <c r="Q125" s="29">
        <v>31</v>
      </c>
      <c r="S125" s="1"/>
      <c r="T125" s="47">
        <v>3</v>
      </c>
      <c r="U125" s="29">
        <v>12.5</v>
      </c>
      <c r="V125" s="48"/>
      <c r="W125" s="4"/>
      <c r="X125" s="29">
        <f>IF((U96=2),"","24")</f>
      </c>
      <c r="Z125" s="1"/>
      <c r="AA125" s="47">
        <v>27</v>
      </c>
      <c r="AB125" s="48">
        <v>14050</v>
      </c>
      <c r="AC125" s="109">
        <v>7385</v>
      </c>
      <c r="AD125" s="109">
        <v>7570</v>
      </c>
      <c r="AE125" s="47">
        <v>14050</v>
      </c>
      <c r="AF125" s="29">
        <v>14440</v>
      </c>
      <c r="AG125" s="29">
        <v>14860</v>
      </c>
    </row>
    <row r="126" spans="1:33" ht="26.25" customHeight="1">
      <c r="A126" s="28"/>
      <c r="B126" s="264"/>
      <c r="C126" s="265"/>
      <c r="D126" s="265"/>
      <c r="E126" s="265"/>
      <c r="F126" s="264"/>
      <c r="G126" s="264"/>
      <c r="H126" s="264"/>
      <c r="O126" s="29">
        <v>12</v>
      </c>
      <c r="P126" s="29" t="str">
        <f>IF((O114=2),"","Feb,11")</f>
        <v>Feb,11</v>
      </c>
      <c r="Q126" s="29">
        <v>28</v>
      </c>
      <c r="S126" s="1"/>
      <c r="T126" s="47">
        <v>4</v>
      </c>
      <c r="U126" s="29">
        <v>20</v>
      </c>
      <c r="V126" s="48"/>
      <c r="W126" s="4"/>
      <c r="X126" s="29">
        <f>IF((U96=2),"","25")</f>
      </c>
      <c r="Z126" s="1"/>
      <c r="AA126" s="47">
        <v>28</v>
      </c>
      <c r="AB126" s="48">
        <v>14440</v>
      </c>
      <c r="AC126" s="109">
        <v>7570</v>
      </c>
      <c r="AD126" s="109">
        <v>7770</v>
      </c>
      <c r="AE126" s="47">
        <v>14440</v>
      </c>
      <c r="AF126" s="29">
        <v>14860</v>
      </c>
      <c r="AG126" s="29">
        <v>15280</v>
      </c>
    </row>
    <row r="127" spans="1:33" ht="26.25" customHeight="1">
      <c r="A127" s="28"/>
      <c r="B127" s="264"/>
      <c r="C127" s="265"/>
      <c r="D127" s="265"/>
      <c r="E127" s="265"/>
      <c r="F127" s="264"/>
      <c r="G127" s="264"/>
      <c r="H127" s="264"/>
      <c r="K127" s="29">
        <f>W98</f>
        <v>28</v>
      </c>
      <c r="L127" s="29">
        <f>W99</f>
        <v>11</v>
      </c>
      <c r="S127" s="1"/>
      <c r="T127" s="47">
        <v>5</v>
      </c>
      <c r="U127" s="29">
        <v>30</v>
      </c>
      <c r="V127" s="48"/>
      <c r="W127" s="4"/>
      <c r="X127" s="29">
        <f>IF((U96=2),"","26")</f>
      </c>
      <c r="Z127" s="1"/>
      <c r="AA127" s="47">
        <v>29</v>
      </c>
      <c r="AB127" s="48">
        <v>14860</v>
      </c>
      <c r="AC127" s="109">
        <v>7770</v>
      </c>
      <c r="AD127" s="109">
        <v>7970</v>
      </c>
      <c r="AE127" s="47">
        <v>14860</v>
      </c>
      <c r="AF127" s="29">
        <v>15280</v>
      </c>
      <c r="AG127" s="29">
        <v>15700</v>
      </c>
    </row>
    <row r="128" spans="1:33" ht="26.25" customHeight="1">
      <c r="A128" s="28"/>
      <c r="B128" s="264"/>
      <c r="C128" s="265"/>
      <c r="D128" s="265"/>
      <c r="E128" s="265"/>
      <c r="F128" s="264"/>
      <c r="G128" s="264"/>
      <c r="H128" s="264"/>
      <c r="K128" s="29">
        <f>VLOOKUP(L127,O115:Q126,3,0)</f>
        <v>31</v>
      </c>
      <c r="L128" s="65" t="str">
        <f>VLOOKUP((L127+1),AA71:AC83,3,0)</f>
        <v>01</v>
      </c>
      <c r="M128" s="29">
        <f>IF((L128&gt;2),2010,2011)</f>
        <v>2010</v>
      </c>
      <c r="S128" s="1"/>
      <c r="T128" s="49"/>
      <c r="U128" s="81"/>
      <c r="V128" s="48"/>
      <c r="W128" s="4"/>
      <c r="X128" s="29">
        <f>IF((U96=2),"","27")</f>
      </c>
      <c r="Z128" s="1"/>
      <c r="AA128" s="47">
        <v>30</v>
      </c>
      <c r="AB128" s="48">
        <v>15280</v>
      </c>
      <c r="AC128" s="109">
        <v>7970</v>
      </c>
      <c r="AD128" s="109">
        <v>8170</v>
      </c>
      <c r="AE128" s="47">
        <v>15280</v>
      </c>
      <c r="AF128" s="29">
        <v>15700</v>
      </c>
      <c r="AG128" s="29">
        <v>16150</v>
      </c>
    </row>
    <row r="129" spans="1:33" ht="26.25" customHeight="1">
      <c r="A129" s="28"/>
      <c r="B129" s="264"/>
      <c r="C129" s="265"/>
      <c r="D129" s="265"/>
      <c r="E129" s="265"/>
      <c r="F129" s="264"/>
      <c r="G129" s="264"/>
      <c r="H129" s="264"/>
      <c r="S129" s="1"/>
      <c r="T129" s="31">
        <v>1</v>
      </c>
      <c r="U129" s="33" t="str">
        <f>VLOOKUP(T129,AA47:AB58,2,0)</f>
        <v>No Change</v>
      </c>
      <c r="V129" s="59"/>
      <c r="W129" s="4"/>
      <c r="X129" s="29">
        <f>IF((U96=2),"","28")</f>
      </c>
      <c r="Z129" s="1"/>
      <c r="AA129" s="47">
        <v>31</v>
      </c>
      <c r="AB129" s="48">
        <v>15700</v>
      </c>
      <c r="AC129" s="109">
        <v>8170</v>
      </c>
      <c r="AD129" s="109">
        <v>8385</v>
      </c>
      <c r="AE129" s="47">
        <v>15700</v>
      </c>
      <c r="AF129" s="29">
        <v>16150</v>
      </c>
      <c r="AG129" s="29">
        <v>16600</v>
      </c>
    </row>
    <row r="130" spans="1:33" ht="26.25" customHeight="1">
      <c r="A130" s="28"/>
      <c r="B130" s="264"/>
      <c r="C130" s="266" t="str">
        <f>IF((U96=2),CONCATENATE("No Promotion "),CONCATENATE("Promotion Arrears                                           ",I130))</f>
        <v>No Promotion </v>
      </c>
      <c r="D130" s="265"/>
      <c r="E130" s="265"/>
      <c r="F130" s="264"/>
      <c r="G130" s="264"/>
      <c r="H130" s="264"/>
      <c r="I130" s="29" t="str">
        <f>CONCATENATE(K127,"-",K128,"/",L128,"/",M128)</f>
        <v>28-31/01/2010</v>
      </c>
      <c r="S130" s="1"/>
      <c r="T130" s="43">
        <v>2</v>
      </c>
      <c r="U130" s="78">
        <f>VLOOKUP(T130,T123:U127,2,)</f>
        <v>10</v>
      </c>
      <c r="V130" s="48"/>
      <c r="W130" s="4"/>
      <c r="X130" s="29">
        <f>IF((U96=2),"","29")</f>
      </c>
      <c r="Z130" s="1"/>
      <c r="AA130" s="47">
        <v>32</v>
      </c>
      <c r="AB130" s="48">
        <v>16150</v>
      </c>
      <c r="AC130" s="109">
        <v>8385</v>
      </c>
      <c r="AD130" s="109">
        <v>8600</v>
      </c>
      <c r="AE130" s="47">
        <v>16150</v>
      </c>
      <c r="AF130" s="29">
        <v>16600</v>
      </c>
      <c r="AG130" s="29">
        <v>17050</v>
      </c>
    </row>
    <row r="131" spans="1:33" ht="26.25" customHeight="1">
      <c r="A131" s="28"/>
      <c r="B131" s="264"/>
      <c r="C131" s="265">
        <f>ROUND(((K131*((K128-K127)+1))/K128),0.1)</f>
        <v>1917</v>
      </c>
      <c r="D131" s="265">
        <f>ROUND((C131*(L131/100)),0.1)</f>
        <v>476</v>
      </c>
      <c r="E131" s="265">
        <f>ROUND((C131*(L132/100)),0.1)</f>
        <v>192</v>
      </c>
      <c r="F131" s="264"/>
      <c r="G131" s="264"/>
      <c r="H131" s="264"/>
      <c r="K131" s="29">
        <f>VLOOKUP((L127+1),AN23:AP50,3,0)</f>
        <v>14860</v>
      </c>
      <c r="L131" s="110">
        <f>VLOOKUP((L127+1),AN23:AQ50,4,0)</f>
        <v>24.824</v>
      </c>
      <c r="S131" s="1"/>
      <c r="T131" s="47"/>
      <c r="U131" s="29"/>
      <c r="V131" s="48"/>
      <c r="W131" s="4"/>
      <c r="X131" s="29">
        <f>IF((U96=2),"","30")</f>
      </c>
      <c r="Z131" s="1"/>
      <c r="AA131" s="47">
        <v>33</v>
      </c>
      <c r="AB131" s="48">
        <v>16600</v>
      </c>
      <c r="AC131" s="109">
        <v>8600</v>
      </c>
      <c r="AD131" s="109">
        <v>8815</v>
      </c>
      <c r="AE131" s="47">
        <v>16600</v>
      </c>
      <c r="AF131" s="29">
        <v>17050</v>
      </c>
      <c r="AG131" s="29">
        <v>17540</v>
      </c>
    </row>
    <row r="132" spans="1:33" ht="26.25" customHeight="1">
      <c r="A132" s="28"/>
      <c r="B132" s="264"/>
      <c r="C132" s="265">
        <f>ROUND(((K132*((K128-K127)+1))/K128),0.1)</f>
        <v>1917</v>
      </c>
      <c r="D132" s="265">
        <f>ROUND((C132*(L131/100)),0.1)</f>
        <v>476</v>
      </c>
      <c r="E132" s="265">
        <f>ROUND((C132*(L132/100)),0.1)</f>
        <v>192</v>
      </c>
      <c r="F132" s="261">
        <f>C132-C131</f>
        <v>0</v>
      </c>
      <c r="G132" s="261">
        <f>D132-D131</f>
        <v>0</v>
      </c>
      <c r="H132" s="261">
        <f>E132-E131</f>
        <v>0</v>
      </c>
      <c r="K132" s="29">
        <f>VLOOKUP((L127+2),AN23:AP50,3,0)</f>
        <v>14860</v>
      </c>
      <c r="L132" s="29">
        <f>VLOOKUP((L127+1),N48:Q59,4,)</f>
        <v>10</v>
      </c>
      <c r="S132" s="1"/>
      <c r="T132" s="49"/>
      <c r="U132" s="81"/>
      <c r="V132" s="50"/>
      <c r="W132" s="4"/>
      <c r="X132" s="29">
        <f>IF((U96=2),"","31")</f>
      </c>
      <c r="Z132" s="1"/>
      <c r="AA132" s="47">
        <v>34</v>
      </c>
      <c r="AB132" s="48">
        <v>17050</v>
      </c>
      <c r="AC132" s="109">
        <v>8815</v>
      </c>
      <c r="AD132" s="109">
        <v>9050</v>
      </c>
      <c r="AE132" s="47">
        <v>17050</v>
      </c>
      <c r="AF132" s="29">
        <v>17540</v>
      </c>
      <c r="AG132" s="29">
        <v>18030</v>
      </c>
    </row>
    <row r="133" spans="1:33" ht="26.25" customHeight="1">
      <c r="A133" s="28"/>
      <c r="B133" s="264"/>
      <c r="C133" s="265"/>
      <c r="D133" s="265"/>
      <c r="E133" s="265"/>
      <c r="F133" s="261">
        <f>IF((U96=2),0,F132)</f>
        <v>0</v>
      </c>
      <c r="G133" s="261">
        <f>IF((U96=2),0,G132)</f>
        <v>0</v>
      </c>
      <c r="H133" s="261">
        <f>IF((U96=2),0,H132)</f>
        <v>0</v>
      </c>
      <c r="T133" s="20"/>
      <c r="U133" s="20"/>
      <c r="V133" s="20"/>
      <c r="Z133" s="1"/>
      <c r="AA133" s="47">
        <v>35</v>
      </c>
      <c r="AB133" s="48">
        <v>17540</v>
      </c>
      <c r="AC133" s="109">
        <v>9050</v>
      </c>
      <c r="AD133" s="109">
        <v>9285</v>
      </c>
      <c r="AE133" s="47">
        <v>17540</v>
      </c>
      <c r="AF133" s="29">
        <v>18030</v>
      </c>
      <c r="AG133" s="29">
        <v>18520</v>
      </c>
    </row>
    <row r="134" spans="1:33" ht="26.25" customHeight="1">
      <c r="A134" s="28"/>
      <c r="B134" s="264"/>
      <c r="C134" s="265"/>
      <c r="D134" s="265"/>
      <c r="E134" s="265"/>
      <c r="F134" s="264"/>
      <c r="G134" s="264"/>
      <c r="H134" s="264"/>
      <c r="Z134" s="1"/>
      <c r="AA134" s="47">
        <v>36</v>
      </c>
      <c r="AB134" s="48">
        <v>18030</v>
      </c>
      <c r="AC134" s="109">
        <v>9285</v>
      </c>
      <c r="AD134" s="109">
        <v>9520</v>
      </c>
      <c r="AE134" s="47">
        <v>18030</v>
      </c>
      <c r="AF134" s="29">
        <v>18520</v>
      </c>
      <c r="AG134" s="29">
        <v>19050</v>
      </c>
    </row>
    <row r="135" spans="1:33" ht="26.25" customHeight="1">
      <c r="A135" s="28"/>
      <c r="B135" s="264"/>
      <c r="C135" s="265"/>
      <c r="D135" s="265"/>
      <c r="E135" s="265"/>
      <c r="F135" s="264"/>
      <c r="G135" s="264"/>
      <c r="H135" s="264"/>
      <c r="Z135" s="1"/>
      <c r="AA135" s="47">
        <v>37</v>
      </c>
      <c r="AB135" s="48">
        <v>18520</v>
      </c>
      <c r="AC135" s="109">
        <v>9520</v>
      </c>
      <c r="AD135" s="109">
        <v>9775</v>
      </c>
      <c r="AE135" s="47">
        <v>18520</v>
      </c>
      <c r="AF135" s="29">
        <v>19050</v>
      </c>
      <c r="AG135" s="29">
        <v>19580</v>
      </c>
    </row>
    <row r="136" spans="1:33" ht="26.25" customHeight="1">
      <c r="A136" s="28"/>
      <c r="B136" s="264"/>
      <c r="C136" s="265"/>
      <c r="D136" s="265"/>
      <c r="E136" s="265"/>
      <c r="F136" s="264"/>
      <c r="G136" s="264"/>
      <c r="H136" s="264"/>
      <c r="Z136" s="1"/>
      <c r="AA136" s="47">
        <v>38</v>
      </c>
      <c r="AB136" s="48">
        <v>19050</v>
      </c>
      <c r="AC136" s="109">
        <v>9775</v>
      </c>
      <c r="AD136" s="109">
        <v>10030</v>
      </c>
      <c r="AE136" s="47">
        <v>19050</v>
      </c>
      <c r="AF136" s="29">
        <v>19580</v>
      </c>
      <c r="AG136" s="29">
        <v>20110</v>
      </c>
    </row>
    <row r="137" spans="1:33" ht="26.25" customHeight="1">
      <c r="A137" s="28"/>
      <c r="B137" s="264"/>
      <c r="C137" s="265"/>
      <c r="D137" s="265"/>
      <c r="E137" s="265"/>
      <c r="F137" s="264"/>
      <c r="G137" s="264"/>
      <c r="H137" s="264"/>
      <c r="Z137" s="1"/>
      <c r="AA137" s="47">
        <v>39</v>
      </c>
      <c r="AB137" s="48">
        <v>19580</v>
      </c>
      <c r="AC137" s="109">
        <v>10030</v>
      </c>
      <c r="AD137" s="109">
        <v>10285</v>
      </c>
      <c r="AE137" s="47">
        <v>19580</v>
      </c>
      <c r="AF137" s="29">
        <v>20110</v>
      </c>
      <c r="AG137" s="29">
        <v>20680</v>
      </c>
    </row>
    <row r="138" spans="1:33" ht="26.25" customHeight="1">
      <c r="A138" s="28"/>
      <c r="B138" s="264"/>
      <c r="C138" s="265"/>
      <c r="D138" s="265"/>
      <c r="E138" s="265"/>
      <c r="F138" s="264"/>
      <c r="G138" s="264"/>
      <c r="H138" s="264"/>
      <c r="Z138" s="1"/>
      <c r="AA138" s="47">
        <v>40</v>
      </c>
      <c r="AB138" s="48">
        <v>20110</v>
      </c>
      <c r="AC138" s="109">
        <v>10285</v>
      </c>
      <c r="AD138" s="109">
        <v>10565</v>
      </c>
      <c r="AE138" s="47">
        <v>20110</v>
      </c>
      <c r="AF138" s="29">
        <v>20680</v>
      </c>
      <c r="AG138" s="29">
        <v>21250</v>
      </c>
    </row>
    <row r="139" spans="1:33" ht="26.25" customHeight="1">
      <c r="A139" s="28"/>
      <c r="B139" s="264"/>
      <c r="C139" s="265"/>
      <c r="D139" s="265"/>
      <c r="E139" s="265"/>
      <c r="F139" s="264"/>
      <c r="G139" s="264"/>
      <c r="H139" s="264"/>
      <c r="Z139" s="1"/>
      <c r="AA139" s="47">
        <v>41</v>
      </c>
      <c r="AB139" s="48">
        <v>20680</v>
      </c>
      <c r="AC139" s="109">
        <v>10565</v>
      </c>
      <c r="AD139" s="109">
        <v>10845</v>
      </c>
      <c r="AE139" s="47">
        <v>20680</v>
      </c>
      <c r="AF139" s="29">
        <v>21250</v>
      </c>
      <c r="AG139" s="29">
        <v>21820</v>
      </c>
    </row>
    <row r="140" spans="1:33" ht="26.25" customHeight="1">
      <c r="A140" s="28"/>
      <c r="B140" s="264"/>
      <c r="C140" s="265"/>
      <c r="D140" s="265"/>
      <c r="E140" s="265"/>
      <c r="F140" s="264"/>
      <c r="G140" s="264"/>
      <c r="H140" s="264"/>
      <c r="Z140" s="1"/>
      <c r="AA140" s="47">
        <v>42</v>
      </c>
      <c r="AB140" s="48">
        <v>21250</v>
      </c>
      <c r="AC140" s="109">
        <v>10845</v>
      </c>
      <c r="AD140" s="109">
        <v>11125</v>
      </c>
      <c r="AE140" s="47">
        <v>21250</v>
      </c>
      <c r="AF140" s="29">
        <v>21820</v>
      </c>
      <c r="AG140" s="29">
        <v>22430</v>
      </c>
    </row>
    <row r="141" spans="1:33" ht="26.25" customHeight="1">
      <c r="A141" s="28"/>
      <c r="B141" s="264"/>
      <c r="C141" s="265"/>
      <c r="D141" s="265"/>
      <c r="E141" s="265"/>
      <c r="F141" s="264"/>
      <c r="G141" s="264"/>
      <c r="H141" s="264"/>
      <c r="Z141" s="1"/>
      <c r="AA141" s="47">
        <v>43</v>
      </c>
      <c r="AB141" s="48">
        <v>21820</v>
      </c>
      <c r="AC141" s="109">
        <v>11125</v>
      </c>
      <c r="AD141" s="109">
        <v>11440</v>
      </c>
      <c r="AE141" s="47">
        <v>21820</v>
      </c>
      <c r="AF141" s="29">
        <v>22430</v>
      </c>
      <c r="AG141" s="29">
        <v>23040</v>
      </c>
    </row>
    <row r="142" spans="1:33" ht="26.25" customHeight="1">
      <c r="A142" s="28"/>
      <c r="B142" s="264"/>
      <c r="C142" s="265"/>
      <c r="D142" s="265"/>
      <c r="E142" s="265"/>
      <c r="F142" s="264"/>
      <c r="G142" s="264"/>
      <c r="H142" s="264"/>
      <c r="Z142" s="1"/>
      <c r="AA142" s="47">
        <v>44</v>
      </c>
      <c r="AB142" s="48">
        <v>22430</v>
      </c>
      <c r="AC142" s="109">
        <v>11440</v>
      </c>
      <c r="AD142" s="109">
        <v>11755</v>
      </c>
      <c r="AE142" s="47">
        <v>22430</v>
      </c>
      <c r="AF142" s="29">
        <v>23040</v>
      </c>
      <c r="AG142" s="29">
        <v>23650</v>
      </c>
    </row>
    <row r="143" spans="1:33" ht="26.25" customHeight="1">
      <c r="A143" s="28"/>
      <c r="B143" s="264"/>
      <c r="C143" s="265"/>
      <c r="D143" s="265"/>
      <c r="E143" s="265"/>
      <c r="F143" s="264"/>
      <c r="G143" s="264"/>
      <c r="H143" s="264"/>
      <c r="Z143" s="1"/>
      <c r="AA143" s="47">
        <v>45</v>
      </c>
      <c r="AB143" s="48">
        <v>23040</v>
      </c>
      <c r="AC143" s="109">
        <v>11755</v>
      </c>
      <c r="AD143" s="109">
        <v>12070</v>
      </c>
      <c r="AE143" s="47">
        <v>23040</v>
      </c>
      <c r="AF143" s="29">
        <v>23650</v>
      </c>
      <c r="AG143" s="29">
        <v>24300</v>
      </c>
    </row>
    <row r="144" spans="1:33" ht="26.25" customHeight="1">
      <c r="A144" s="28"/>
      <c r="B144" s="264"/>
      <c r="C144" s="265"/>
      <c r="D144" s="265"/>
      <c r="E144" s="265"/>
      <c r="F144" s="264"/>
      <c r="G144" s="264"/>
      <c r="H144" s="264"/>
      <c r="Z144" s="1"/>
      <c r="AA144" s="47">
        <v>46</v>
      </c>
      <c r="AB144" s="48">
        <v>23650</v>
      </c>
      <c r="AC144" s="109">
        <v>12070</v>
      </c>
      <c r="AD144" s="109">
        <v>12385</v>
      </c>
      <c r="AE144" s="47">
        <v>23650</v>
      </c>
      <c r="AF144" s="29">
        <v>24300</v>
      </c>
      <c r="AG144" s="29">
        <v>24950</v>
      </c>
    </row>
    <row r="145" spans="1:33" ht="26.25" customHeight="1">
      <c r="A145" s="28"/>
      <c r="B145" s="264"/>
      <c r="C145" s="265"/>
      <c r="D145" s="265"/>
      <c r="E145" s="265"/>
      <c r="F145" s="264"/>
      <c r="G145" s="264"/>
      <c r="H145" s="264"/>
      <c r="Z145" s="1"/>
      <c r="AA145" s="47">
        <v>47</v>
      </c>
      <c r="AB145" s="48">
        <v>24300</v>
      </c>
      <c r="AC145" s="109">
        <v>12385</v>
      </c>
      <c r="AD145" s="109">
        <v>12700</v>
      </c>
      <c r="AE145" s="47">
        <v>24300</v>
      </c>
      <c r="AF145" s="29">
        <v>24950</v>
      </c>
      <c r="AG145" s="29">
        <v>25600</v>
      </c>
    </row>
    <row r="146" spans="1:33" ht="26.25" customHeight="1">
      <c r="A146" s="28"/>
      <c r="B146" s="264"/>
      <c r="C146" s="265"/>
      <c r="D146" s="265"/>
      <c r="E146" s="265"/>
      <c r="F146" s="264"/>
      <c r="G146" s="264"/>
      <c r="H146" s="264"/>
      <c r="Z146" s="1"/>
      <c r="AA146" s="47">
        <v>48</v>
      </c>
      <c r="AB146" s="48">
        <v>24950</v>
      </c>
      <c r="AC146" s="109">
        <v>12700</v>
      </c>
      <c r="AD146" s="109">
        <v>13030</v>
      </c>
      <c r="AE146" s="47">
        <v>24950</v>
      </c>
      <c r="AF146" s="29">
        <v>25600</v>
      </c>
      <c r="AG146" s="29">
        <v>26300</v>
      </c>
    </row>
    <row r="147" spans="1:33" ht="26.25" customHeight="1">
      <c r="A147" s="28"/>
      <c r="B147" s="264"/>
      <c r="C147" s="265"/>
      <c r="D147" s="265"/>
      <c r="E147" s="265"/>
      <c r="F147" s="264"/>
      <c r="G147" s="264"/>
      <c r="H147" s="264"/>
      <c r="Z147" s="1"/>
      <c r="AA147" s="47">
        <v>49</v>
      </c>
      <c r="AB147" s="48">
        <v>25600</v>
      </c>
      <c r="AC147" s="109">
        <v>13030</v>
      </c>
      <c r="AD147" s="109">
        <v>13390</v>
      </c>
      <c r="AE147" s="47">
        <v>25600</v>
      </c>
      <c r="AF147" s="29">
        <v>26300</v>
      </c>
      <c r="AG147" s="29">
        <v>27000</v>
      </c>
    </row>
    <row r="148" spans="1:33" ht="26.25" customHeight="1">
      <c r="A148" s="28"/>
      <c r="B148" s="264"/>
      <c r="C148" s="265"/>
      <c r="D148" s="265"/>
      <c r="E148" s="265"/>
      <c r="F148" s="264"/>
      <c r="G148" s="264"/>
      <c r="H148" s="264"/>
      <c r="Z148" s="1"/>
      <c r="AA148" s="47">
        <v>50</v>
      </c>
      <c r="AB148" s="48">
        <v>26300</v>
      </c>
      <c r="AC148" s="109">
        <v>13390</v>
      </c>
      <c r="AD148" s="109">
        <v>13750</v>
      </c>
      <c r="AE148" s="47">
        <v>26300</v>
      </c>
      <c r="AF148" s="29">
        <v>27000</v>
      </c>
      <c r="AG148" s="29">
        <v>27700</v>
      </c>
    </row>
    <row r="149" spans="1:33" ht="26.25" customHeight="1">
      <c r="A149" s="28"/>
      <c r="B149" s="264"/>
      <c r="C149" s="265"/>
      <c r="D149" s="265"/>
      <c r="E149" s="265"/>
      <c r="F149" s="264"/>
      <c r="G149" s="264"/>
      <c r="H149" s="264"/>
      <c r="Z149" s="1"/>
      <c r="AA149" s="47">
        <v>51</v>
      </c>
      <c r="AB149" s="48">
        <v>27000</v>
      </c>
      <c r="AC149" s="109">
        <v>13750</v>
      </c>
      <c r="AD149" s="109">
        <v>14175</v>
      </c>
      <c r="AE149" s="47">
        <v>27000</v>
      </c>
      <c r="AF149" s="29">
        <v>27700</v>
      </c>
      <c r="AG149" s="29">
        <v>28450</v>
      </c>
    </row>
    <row r="150" spans="1:33" ht="26.25" customHeight="1">
      <c r="A150" s="28"/>
      <c r="B150" s="264"/>
      <c r="C150" s="265"/>
      <c r="D150" s="265"/>
      <c r="E150" s="265"/>
      <c r="F150" s="264"/>
      <c r="G150" s="264"/>
      <c r="H150" s="264"/>
      <c r="Z150" s="1"/>
      <c r="AA150" s="47">
        <v>52</v>
      </c>
      <c r="AB150" s="48">
        <v>27700</v>
      </c>
      <c r="AC150" s="109">
        <v>14175</v>
      </c>
      <c r="AD150" s="109">
        <v>14600</v>
      </c>
      <c r="AE150" s="47">
        <v>27700</v>
      </c>
      <c r="AF150" s="29">
        <v>28450</v>
      </c>
      <c r="AG150" s="29">
        <v>29200</v>
      </c>
    </row>
    <row r="151" spans="1:33" ht="26.25" customHeight="1">
      <c r="A151" s="28"/>
      <c r="B151" s="264"/>
      <c r="C151" s="265"/>
      <c r="D151" s="265"/>
      <c r="E151" s="265"/>
      <c r="F151" s="264"/>
      <c r="G151" s="264"/>
      <c r="H151" s="264"/>
      <c r="Z151" s="1"/>
      <c r="AA151" s="47">
        <v>53</v>
      </c>
      <c r="AB151" s="48">
        <v>28450</v>
      </c>
      <c r="AC151" s="109">
        <v>14600</v>
      </c>
      <c r="AD151" s="109">
        <v>15025</v>
      </c>
      <c r="AE151" s="47">
        <v>28450</v>
      </c>
      <c r="AF151" s="29">
        <v>29200</v>
      </c>
      <c r="AG151" s="29">
        <v>29950</v>
      </c>
    </row>
    <row r="152" spans="1:33" ht="26.25" customHeight="1">
      <c r="A152" s="28"/>
      <c r="B152" s="264"/>
      <c r="C152" s="265"/>
      <c r="D152" s="265"/>
      <c r="E152" s="265"/>
      <c r="F152" s="264"/>
      <c r="G152" s="264"/>
      <c r="H152" s="264"/>
      <c r="Z152" s="1"/>
      <c r="AA152" s="47">
        <v>54</v>
      </c>
      <c r="AB152" s="48">
        <v>29200</v>
      </c>
      <c r="AC152" s="109">
        <v>15025</v>
      </c>
      <c r="AD152" s="109">
        <v>15500</v>
      </c>
      <c r="AE152" s="47">
        <v>29200</v>
      </c>
      <c r="AF152" s="29">
        <v>29950</v>
      </c>
      <c r="AG152" s="29">
        <v>30750</v>
      </c>
    </row>
    <row r="153" spans="1:33" ht="26.25" customHeight="1">
      <c r="A153" s="28"/>
      <c r="B153" s="264"/>
      <c r="C153" s="265"/>
      <c r="D153" s="265"/>
      <c r="E153" s="265"/>
      <c r="F153" s="264"/>
      <c r="G153" s="264"/>
      <c r="H153" s="264"/>
      <c r="Z153" s="1"/>
      <c r="AA153" s="47">
        <v>55</v>
      </c>
      <c r="AB153" s="48">
        <v>29950</v>
      </c>
      <c r="AC153" s="109">
        <v>15500</v>
      </c>
      <c r="AD153" s="109">
        <v>15975</v>
      </c>
      <c r="AE153" s="47">
        <v>29950</v>
      </c>
      <c r="AF153" s="29">
        <v>30750</v>
      </c>
      <c r="AG153" s="29">
        <v>31550</v>
      </c>
    </row>
    <row r="154" spans="1:33" ht="26.25" customHeight="1">
      <c r="A154" s="28"/>
      <c r="B154" s="264"/>
      <c r="C154" s="265"/>
      <c r="D154" s="265"/>
      <c r="E154" s="265"/>
      <c r="F154" s="264"/>
      <c r="G154" s="264"/>
      <c r="H154" s="264"/>
      <c r="Z154" s="1"/>
      <c r="AA154" s="47">
        <v>56</v>
      </c>
      <c r="AB154" s="48">
        <v>30750</v>
      </c>
      <c r="AC154" s="109">
        <v>15975</v>
      </c>
      <c r="AD154" s="109">
        <v>16450</v>
      </c>
      <c r="AE154" s="47">
        <v>30750</v>
      </c>
      <c r="AF154" s="29">
        <v>31550</v>
      </c>
      <c r="AG154" s="29">
        <v>32350</v>
      </c>
    </row>
    <row r="155" spans="1:33" ht="26.25" customHeight="1">
      <c r="A155" s="28"/>
      <c r="B155" s="264"/>
      <c r="C155" s="265"/>
      <c r="D155" s="265"/>
      <c r="E155" s="265"/>
      <c r="F155" s="264"/>
      <c r="G155" s="264"/>
      <c r="H155" s="264"/>
      <c r="Z155" s="1"/>
      <c r="AA155" s="47">
        <v>57</v>
      </c>
      <c r="AB155" s="48">
        <v>31550</v>
      </c>
      <c r="AC155" s="109">
        <v>16450</v>
      </c>
      <c r="AD155" s="109">
        <v>16925</v>
      </c>
      <c r="AE155" s="47">
        <v>31550</v>
      </c>
      <c r="AF155" s="29">
        <v>32350</v>
      </c>
      <c r="AG155" s="29">
        <v>33200</v>
      </c>
    </row>
    <row r="156" spans="1:33" ht="26.25" customHeight="1">
      <c r="A156" s="28"/>
      <c r="B156" s="264"/>
      <c r="C156" s="265"/>
      <c r="D156" s="265"/>
      <c r="E156" s="265"/>
      <c r="F156" s="264"/>
      <c r="G156" s="264"/>
      <c r="H156" s="264"/>
      <c r="Z156" s="1"/>
      <c r="AA156" s="47">
        <v>58</v>
      </c>
      <c r="AB156" s="48">
        <v>32350</v>
      </c>
      <c r="AC156" s="109">
        <v>16925</v>
      </c>
      <c r="AD156" s="109">
        <v>17475</v>
      </c>
      <c r="AE156" s="47">
        <v>32350</v>
      </c>
      <c r="AF156" s="29">
        <v>33200</v>
      </c>
      <c r="AG156" s="29">
        <v>34050</v>
      </c>
    </row>
    <row r="157" spans="1:33" ht="26.25" customHeight="1">
      <c r="A157" s="28"/>
      <c r="B157" s="264"/>
      <c r="C157" s="265"/>
      <c r="D157" s="265"/>
      <c r="E157" s="265"/>
      <c r="F157" s="264"/>
      <c r="G157" s="264"/>
      <c r="H157" s="264"/>
      <c r="Z157" s="1"/>
      <c r="AA157" s="47">
        <v>59</v>
      </c>
      <c r="AB157" s="48">
        <v>33200</v>
      </c>
      <c r="AC157" s="109">
        <v>17475</v>
      </c>
      <c r="AD157" s="109">
        <v>18025</v>
      </c>
      <c r="AE157" s="47">
        <v>33200</v>
      </c>
      <c r="AF157" s="29">
        <v>34050</v>
      </c>
      <c r="AG157" s="29">
        <v>34900</v>
      </c>
    </row>
    <row r="158" spans="1:33" ht="26.25" customHeight="1">
      <c r="A158" s="28"/>
      <c r="B158" s="264"/>
      <c r="C158" s="265"/>
      <c r="D158" s="265"/>
      <c r="E158" s="265"/>
      <c r="F158" s="264"/>
      <c r="G158" s="264"/>
      <c r="H158" s="264"/>
      <c r="Z158" s="1"/>
      <c r="AA158" s="47">
        <v>60</v>
      </c>
      <c r="AB158" s="48">
        <v>34050</v>
      </c>
      <c r="AC158" s="109">
        <v>18025</v>
      </c>
      <c r="AD158" s="109">
        <v>18575</v>
      </c>
      <c r="AE158" s="47">
        <v>34050</v>
      </c>
      <c r="AF158" s="29">
        <v>34900</v>
      </c>
      <c r="AG158" s="29">
        <v>35800</v>
      </c>
    </row>
    <row r="159" spans="1:33" ht="26.25" customHeight="1">
      <c r="A159" s="28"/>
      <c r="B159" s="264"/>
      <c r="C159" s="265"/>
      <c r="D159" s="265"/>
      <c r="E159" s="265"/>
      <c r="F159" s="264"/>
      <c r="G159" s="264"/>
      <c r="H159" s="264"/>
      <c r="Z159" s="1"/>
      <c r="AA159" s="47">
        <v>61</v>
      </c>
      <c r="AB159" s="48">
        <v>34900</v>
      </c>
      <c r="AC159" s="109">
        <v>18575</v>
      </c>
      <c r="AD159" s="109">
        <v>19125</v>
      </c>
      <c r="AE159" s="47">
        <v>34900</v>
      </c>
      <c r="AF159" s="29">
        <v>35800</v>
      </c>
      <c r="AG159" s="29">
        <v>36700</v>
      </c>
    </row>
    <row r="160" spans="1:33" ht="26.25" customHeight="1">
      <c r="A160" s="28"/>
      <c r="B160" s="264"/>
      <c r="C160" s="265"/>
      <c r="D160" s="265"/>
      <c r="E160" s="265"/>
      <c r="F160" s="264"/>
      <c r="G160" s="264"/>
      <c r="H160" s="264"/>
      <c r="Z160" s="1"/>
      <c r="AA160" s="47">
        <v>62</v>
      </c>
      <c r="AB160" s="48">
        <v>35800</v>
      </c>
      <c r="AC160" s="109">
        <v>19125</v>
      </c>
      <c r="AD160" s="109">
        <v>19675</v>
      </c>
      <c r="AE160" s="47">
        <v>35800</v>
      </c>
      <c r="AF160" s="29">
        <v>36700</v>
      </c>
      <c r="AG160" s="29">
        <v>37600</v>
      </c>
    </row>
    <row r="161" spans="1:33" ht="26.25" customHeight="1">
      <c r="A161" s="28"/>
      <c r="B161" s="264"/>
      <c r="C161" s="265"/>
      <c r="D161" s="265"/>
      <c r="E161" s="265"/>
      <c r="F161" s="264"/>
      <c r="G161" s="264"/>
      <c r="H161" s="264"/>
      <c r="Z161" s="1"/>
      <c r="AA161" s="47">
        <v>63</v>
      </c>
      <c r="AB161" s="48">
        <v>36700</v>
      </c>
      <c r="AC161" s="109">
        <v>19675</v>
      </c>
      <c r="AD161" s="109">
        <v>20300</v>
      </c>
      <c r="AE161" s="47">
        <v>36700</v>
      </c>
      <c r="AF161" s="29">
        <v>37600</v>
      </c>
      <c r="AG161" s="29">
        <v>38570</v>
      </c>
    </row>
    <row r="162" spans="1:33" ht="26.25" customHeight="1">
      <c r="A162" s="28"/>
      <c r="B162" s="264"/>
      <c r="C162" s="265"/>
      <c r="D162" s="265"/>
      <c r="E162" s="265"/>
      <c r="F162" s="264"/>
      <c r="G162" s="264"/>
      <c r="H162" s="264"/>
      <c r="Z162" s="1"/>
      <c r="AA162" s="47">
        <v>64</v>
      </c>
      <c r="AB162" s="48">
        <v>37600</v>
      </c>
      <c r="AC162" s="109">
        <v>20300</v>
      </c>
      <c r="AD162" s="109">
        <v>20925</v>
      </c>
      <c r="AE162" s="47">
        <v>37600</v>
      </c>
      <c r="AF162" s="29">
        <v>38570</v>
      </c>
      <c r="AG162" s="29">
        <v>39540</v>
      </c>
    </row>
    <row r="163" spans="1:33" ht="26.25" customHeight="1">
      <c r="A163" s="28"/>
      <c r="B163" s="264"/>
      <c r="C163" s="265"/>
      <c r="D163" s="265"/>
      <c r="E163" s="265"/>
      <c r="F163" s="264"/>
      <c r="G163" s="264"/>
      <c r="H163" s="264"/>
      <c r="Z163" s="1"/>
      <c r="AA163" s="47">
        <v>65</v>
      </c>
      <c r="AB163" s="48">
        <v>38570</v>
      </c>
      <c r="AC163" s="109">
        <v>20925</v>
      </c>
      <c r="AD163" s="109">
        <v>21550</v>
      </c>
      <c r="AE163" s="47">
        <v>38570</v>
      </c>
      <c r="AF163" s="29">
        <v>39540</v>
      </c>
      <c r="AG163" s="29">
        <v>40510</v>
      </c>
    </row>
    <row r="164" spans="1:33" ht="26.25" customHeight="1">
      <c r="A164" s="28"/>
      <c r="B164" s="264"/>
      <c r="C164" s="265"/>
      <c r="D164" s="265"/>
      <c r="E164" s="265"/>
      <c r="F164" s="264"/>
      <c r="G164" s="264"/>
      <c r="H164" s="264"/>
      <c r="Z164" s="1"/>
      <c r="AA164" s="47">
        <v>66</v>
      </c>
      <c r="AB164" s="48">
        <v>39540</v>
      </c>
      <c r="AC164" s="109">
        <v>21550</v>
      </c>
      <c r="AD164" s="109">
        <v>22175</v>
      </c>
      <c r="AE164" s="47">
        <v>39540</v>
      </c>
      <c r="AF164" s="29">
        <v>40510</v>
      </c>
      <c r="AG164" s="29">
        <v>41550</v>
      </c>
    </row>
    <row r="165" spans="1:33" ht="26.25" customHeight="1">
      <c r="A165" s="28"/>
      <c r="B165" s="264"/>
      <c r="C165" s="265"/>
      <c r="D165" s="265"/>
      <c r="E165" s="265"/>
      <c r="F165" s="264"/>
      <c r="G165" s="264"/>
      <c r="H165" s="264"/>
      <c r="Z165" s="1"/>
      <c r="AA165" s="47">
        <v>67</v>
      </c>
      <c r="AB165" s="48">
        <v>40510</v>
      </c>
      <c r="AC165" s="109">
        <v>22175</v>
      </c>
      <c r="AD165" s="109">
        <v>22800</v>
      </c>
      <c r="AE165" s="47">
        <v>40510</v>
      </c>
      <c r="AF165" s="29">
        <v>41550</v>
      </c>
      <c r="AG165" s="29">
        <v>42590</v>
      </c>
    </row>
    <row r="166" spans="1:33" ht="26.25" customHeight="1">
      <c r="A166" s="28"/>
      <c r="B166" s="264"/>
      <c r="C166" s="265"/>
      <c r="D166" s="265"/>
      <c r="E166" s="265"/>
      <c r="F166" s="264"/>
      <c r="G166" s="264"/>
      <c r="H166" s="264"/>
      <c r="Z166" s="1"/>
      <c r="AA166" s="47">
        <v>68</v>
      </c>
      <c r="AB166" s="48">
        <v>41550</v>
      </c>
      <c r="AC166" s="109">
        <v>22800</v>
      </c>
      <c r="AD166" s="109">
        <v>23500</v>
      </c>
      <c r="AE166" s="47">
        <v>41550</v>
      </c>
      <c r="AF166" s="29">
        <v>42590</v>
      </c>
      <c r="AG166" s="29">
        <v>43630</v>
      </c>
    </row>
    <row r="167" spans="1:33" ht="26.25" customHeight="1">
      <c r="A167" s="28"/>
      <c r="B167" s="264"/>
      <c r="C167" s="265"/>
      <c r="D167" s="265"/>
      <c r="E167" s="265"/>
      <c r="F167" s="264"/>
      <c r="G167" s="264"/>
      <c r="H167" s="264"/>
      <c r="Z167" s="1"/>
      <c r="AA167" s="47">
        <v>69</v>
      </c>
      <c r="AB167" s="48">
        <v>42590</v>
      </c>
      <c r="AC167" s="109">
        <v>23500</v>
      </c>
      <c r="AD167" s="109">
        <v>24200</v>
      </c>
      <c r="AE167" s="47">
        <v>42590</v>
      </c>
      <c r="AF167" s="29">
        <v>43630</v>
      </c>
      <c r="AG167" s="29">
        <v>44740</v>
      </c>
    </row>
    <row r="168" spans="1:33" ht="26.25" customHeight="1">
      <c r="A168" s="28"/>
      <c r="B168" s="264"/>
      <c r="C168" s="265"/>
      <c r="D168" s="265"/>
      <c r="E168" s="265"/>
      <c r="F168" s="264"/>
      <c r="G168" s="264"/>
      <c r="H168" s="264"/>
      <c r="Z168" s="1"/>
      <c r="AA168" s="47">
        <v>70</v>
      </c>
      <c r="AB168" s="48">
        <v>43630</v>
      </c>
      <c r="AC168" s="109">
        <v>24200</v>
      </c>
      <c r="AD168" s="109">
        <v>24900</v>
      </c>
      <c r="AE168" s="47">
        <v>43630</v>
      </c>
      <c r="AF168" s="29">
        <v>44740</v>
      </c>
      <c r="AG168" s="29">
        <v>45850</v>
      </c>
    </row>
    <row r="169" spans="1:33" ht="26.25" customHeight="1">
      <c r="A169" s="28"/>
      <c r="B169" s="264"/>
      <c r="C169" s="265"/>
      <c r="D169" s="265"/>
      <c r="E169" s="265"/>
      <c r="F169" s="264"/>
      <c r="G169" s="264"/>
      <c r="H169" s="264"/>
      <c r="Z169" s="1"/>
      <c r="AA169" s="47">
        <v>71</v>
      </c>
      <c r="AB169" s="48">
        <v>44740</v>
      </c>
      <c r="AC169" s="109">
        <v>24900</v>
      </c>
      <c r="AD169" s="109">
        <v>25600</v>
      </c>
      <c r="AE169" s="47">
        <v>44740</v>
      </c>
      <c r="AF169" s="29">
        <v>45850</v>
      </c>
      <c r="AG169" s="29">
        <v>46960</v>
      </c>
    </row>
    <row r="170" spans="1:33" ht="26.25" customHeight="1">
      <c r="A170" s="28"/>
      <c r="B170" s="264"/>
      <c r="C170" s="265"/>
      <c r="D170" s="265"/>
      <c r="E170" s="265"/>
      <c r="F170" s="264"/>
      <c r="G170" s="264"/>
      <c r="H170" s="264"/>
      <c r="Z170" s="1"/>
      <c r="AA170" s="47">
        <v>72</v>
      </c>
      <c r="AB170" s="48">
        <v>45850</v>
      </c>
      <c r="AC170" s="109">
        <v>25600</v>
      </c>
      <c r="AD170" s="109">
        <v>26300</v>
      </c>
      <c r="AE170" s="47">
        <v>45850</v>
      </c>
      <c r="AF170" s="29">
        <v>46960</v>
      </c>
      <c r="AG170" s="29">
        <v>48160</v>
      </c>
    </row>
    <row r="171" spans="1:33" ht="26.25" customHeight="1">
      <c r="A171" s="28"/>
      <c r="B171" s="264"/>
      <c r="C171" s="265"/>
      <c r="D171" s="265"/>
      <c r="E171" s="265"/>
      <c r="F171" s="264"/>
      <c r="G171" s="264"/>
      <c r="H171" s="264"/>
      <c r="Z171" s="1"/>
      <c r="AA171" s="47">
        <v>73</v>
      </c>
      <c r="AB171" s="48">
        <v>46960</v>
      </c>
      <c r="AC171" s="109">
        <v>26300</v>
      </c>
      <c r="AD171" s="109">
        <v>27000</v>
      </c>
      <c r="AE171" s="47">
        <v>46960</v>
      </c>
      <c r="AF171" s="29">
        <v>48160</v>
      </c>
      <c r="AG171" s="29">
        <v>49360</v>
      </c>
    </row>
    <row r="172" spans="1:33" ht="26.25" customHeight="1">
      <c r="A172" s="28"/>
      <c r="B172" s="264"/>
      <c r="C172" s="265"/>
      <c r="D172" s="265"/>
      <c r="E172" s="265"/>
      <c r="F172" s="264"/>
      <c r="G172" s="264"/>
      <c r="H172" s="264"/>
      <c r="Z172" s="1"/>
      <c r="AA172" s="47">
        <v>74</v>
      </c>
      <c r="AB172" s="48">
        <v>48160</v>
      </c>
      <c r="AC172" s="109">
        <v>27000</v>
      </c>
      <c r="AD172" s="109">
        <v>27750</v>
      </c>
      <c r="AE172" s="47">
        <v>48160</v>
      </c>
      <c r="AF172" s="29">
        <v>49360</v>
      </c>
      <c r="AG172" s="29">
        <v>50560</v>
      </c>
    </row>
    <row r="173" spans="1:33" ht="26.25" customHeight="1">
      <c r="A173" s="28"/>
      <c r="B173" s="264"/>
      <c r="C173" s="265"/>
      <c r="D173" s="265"/>
      <c r="E173" s="265"/>
      <c r="F173" s="264"/>
      <c r="G173" s="264"/>
      <c r="H173" s="264"/>
      <c r="Z173" s="1"/>
      <c r="AA173" s="47">
        <v>75</v>
      </c>
      <c r="AB173" s="48">
        <v>49360</v>
      </c>
      <c r="AC173" s="109">
        <v>27750</v>
      </c>
      <c r="AD173" s="109">
        <v>28500</v>
      </c>
      <c r="AE173" s="47">
        <v>49360</v>
      </c>
      <c r="AF173" s="29">
        <v>50560</v>
      </c>
      <c r="AG173" s="29">
        <v>51760</v>
      </c>
    </row>
    <row r="174" spans="1:33" ht="26.25" customHeight="1">
      <c r="A174" s="28"/>
      <c r="B174" s="264"/>
      <c r="C174" s="265"/>
      <c r="D174" s="265"/>
      <c r="E174" s="265"/>
      <c r="F174" s="264"/>
      <c r="G174" s="264"/>
      <c r="H174" s="264"/>
      <c r="Z174" s="1"/>
      <c r="AA174" s="47">
        <v>76</v>
      </c>
      <c r="AB174" s="48">
        <v>50560</v>
      </c>
      <c r="AC174" s="109">
        <v>28500</v>
      </c>
      <c r="AD174" s="109">
        <v>29250</v>
      </c>
      <c r="AE174" s="47">
        <v>50560</v>
      </c>
      <c r="AF174" s="29">
        <v>51760</v>
      </c>
      <c r="AG174" s="29">
        <v>53060</v>
      </c>
    </row>
    <row r="175" spans="1:33" ht="26.25" customHeight="1">
      <c r="A175" s="28"/>
      <c r="B175" s="264"/>
      <c r="C175" s="265"/>
      <c r="D175" s="265"/>
      <c r="E175" s="265"/>
      <c r="F175" s="264"/>
      <c r="G175" s="264"/>
      <c r="H175" s="264"/>
      <c r="Z175" s="1"/>
      <c r="AA175" s="47">
        <v>77</v>
      </c>
      <c r="AB175" s="48">
        <v>51760</v>
      </c>
      <c r="AC175" s="109">
        <v>29250</v>
      </c>
      <c r="AD175" s="109">
        <v>30000</v>
      </c>
      <c r="AE175" s="47">
        <v>51760</v>
      </c>
      <c r="AF175" s="29">
        <v>53060</v>
      </c>
      <c r="AG175" s="29">
        <v>54360</v>
      </c>
    </row>
    <row r="176" spans="1:33" ht="26.25" customHeight="1">
      <c r="A176" s="28"/>
      <c r="B176" s="264"/>
      <c r="C176" s="265"/>
      <c r="D176" s="265"/>
      <c r="E176" s="265"/>
      <c r="F176" s="264"/>
      <c r="G176" s="264"/>
      <c r="H176" s="264"/>
      <c r="Z176" s="1"/>
      <c r="AA176" s="47">
        <v>78</v>
      </c>
      <c r="AB176" s="48">
        <v>53060</v>
      </c>
      <c r="AC176" s="109">
        <v>30000</v>
      </c>
      <c r="AD176" s="109">
        <v>30765</v>
      </c>
      <c r="AE176" s="47">
        <v>53060</v>
      </c>
      <c r="AF176" s="29">
        <v>54360</v>
      </c>
      <c r="AG176" s="29">
        <v>55660</v>
      </c>
    </row>
    <row r="177" spans="1:33" ht="26.25" customHeight="1">
      <c r="A177" s="28"/>
      <c r="B177" s="264"/>
      <c r="C177" s="265"/>
      <c r="D177" s="265"/>
      <c r="E177" s="265"/>
      <c r="F177" s="264"/>
      <c r="G177" s="264"/>
      <c r="H177" s="264"/>
      <c r="Z177" s="1"/>
      <c r="AA177" s="47">
        <v>79</v>
      </c>
      <c r="AB177" s="48">
        <v>54360</v>
      </c>
      <c r="AC177" s="109">
        <v>30765</v>
      </c>
      <c r="AD177" s="111"/>
      <c r="AE177" s="29">
        <v>54360</v>
      </c>
      <c r="AF177" s="29">
        <v>55660</v>
      </c>
      <c r="AG177" s="29">
        <v>55660</v>
      </c>
    </row>
    <row r="178" spans="1:33" ht="26.25" customHeight="1">
      <c r="A178" s="28"/>
      <c r="B178" s="264"/>
      <c r="C178" s="265"/>
      <c r="D178" s="265"/>
      <c r="E178" s="265"/>
      <c r="F178" s="264"/>
      <c r="G178" s="264"/>
      <c r="H178" s="264"/>
      <c r="Z178" s="1"/>
      <c r="AA178" s="47">
        <v>80</v>
      </c>
      <c r="AB178" s="29">
        <v>55660</v>
      </c>
      <c r="AC178" s="44"/>
      <c r="AD178" s="4"/>
      <c r="AE178" s="29">
        <v>55660</v>
      </c>
      <c r="AF178" s="29">
        <v>55660</v>
      </c>
      <c r="AG178" s="29">
        <v>55660</v>
      </c>
    </row>
    <row r="179" spans="1:30" ht="26.25" customHeight="1">
      <c r="A179" s="28"/>
      <c r="B179" s="264"/>
      <c r="C179" s="265"/>
      <c r="D179" s="265"/>
      <c r="E179" s="265"/>
      <c r="F179" s="264"/>
      <c r="G179" s="264"/>
      <c r="H179" s="264"/>
      <c r="Z179" s="1"/>
      <c r="AA179" s="47"/>
      <c r="AB179" s="29"/>
      <c r="AC179" s="48"/>
      <c r="AD179" s="4"/>
    </row>
    <row r="180" spans="1:30" ht="26.25" customHeight="1">
      <c r="A180" s="28"/>
      <c r="B180" s="264"/>
      <c r="C180" s="265"/>
      <c r="D180" s="265"/>
      <c r="E180" s="265"/>
      <c r="F180" s="264"/>
      <c r="G180" s="264"/>
      <c r="H180" s="264"/>
      <c r="Z180" s="1"/>
      <c r="AA180" s="47"/>
      <c r="AB180" s="29"/>
      <c r="AC180" s="48"/>
      <c r="AD180" s="4"/>
    </row>
    <row r="181" spans="1:30" ht="26.25" customHeight="1">
      <c r="A181" s="28"/>
      <c r="B181" s="264"/>
      <c r="C181" s="265"/>
      <c r="D181" s="265"/>
      <c r="E181" s="265"/>
      <c r="F181" s="264"/>
      <c r="G181" s="264"/>
      <c r="H181" s="264"/>
      <c r="Z181" s="1"/>
      <c r="AA181" s="49"/>
      <c r="AB181" s="81">
        <v>31</v>
      </c>
      <c r="AC181" s="50"/>
      <c r="AD181" s="107"/>
    </row>
    <row r="182" spans="1:31" ht="26.25" customHeight="1">
      <c r="A182" s="28"/>
      <c r="B182" s="264"/>
      <c r="C182" s="265"/>
      <c r="D182" s="265"/>
      <c r="E182" s="265"/>
      <c r="F182" s="264"/>
      <c r="G182" s="264"/>
      <c r="H182" s="264"/>
      <c r="Z182" s="1"/>
      <c r="AA182" s="31" t="s">
        <v>544</v>
      </c>
      <c r="AB182" s="32">
        <f>VLOOKUP(AB181,AA99:AC178,3,0)</f>
        <v>8170</v>
      </c>
      <c r="AC182" s="33" t="s">
        <v>83</v>
      </c>
      <c r="AD182" s="37">
        <f>IF((AA70=13),VLOOKUP(AB182,AC99:AD176,2,0),AB182)</f>
        <v>8170</v>
      </c>
      <c r="AE182" s="4"/>
    </row>
    <row r="183" spans="2:30" ht="26.25" customHeight="1">
      <c r="B183" s="264"/>
      <c r="C183" s="264"/>
      <c r="D183" s="264"/>
      <c r="E183" s="264"/>
      <c r="F183" s="264"/>
      <c r="G183" s="264"/>
      <c r="H183" s="264"/>
      <c r="Z183" s="1"/>
      <c r="AA183" s="43"/>
      <c r="AB183" s="78">
        <v>28</v>
      </c>
      <c r="AC183" s="44"/>
      <c r="AD183" s="111"/>
    </row>
    <row r="184" spans="26:30" ht="26.25" customHeight="1">
      <c r="Z184" s="1"/>
      <c r="AA184" s="49"/>
      <c r="AB184" s="81">
        <f>VLOOKUP(AB183,AA99:AC178,2,0)</f>
        <v>14440</v>
      </c>
      <c r="AC184" s="50" t="s">
        <v>329</v>
      </c>
      <c r="AD184" s="4"/>
    </row>
  </sheetData>
  <sheetProtection/>
  <mergeCells count="76">
    <mergeCell ref="B2:P2"/>
    <mergeCell ref="D3:I3"/>
    <mergeCell ref="J3:K3"/>
    <mergeCell ref="C4:I4"/>
    <mergeCell ref="J4:K4"/>
    <mergeCell ref="L4:P4"/>
    <mergeCell ref="C5:D5"/>
    <mergeCell ref="G5:H5"/>
    <mergeCell ref="E6:G6"/>
    <mergeCell ref="D7:G7"/>
    <mergeCell ref="K7:N7"/>
    <mergeCell ref="D8:I8"/>
    <mergeCell ref="D9:G9"/>
    <mergeCell ref="J9:K9"/>
    <mergeCell ref="M9:O9"/>
    <mergeCell ref="B10:C10"/>
    <mergeCell ref="D10:E10"/>
    <mergeCell ref="F10:H10"/>
    <mergeCell ref="I10:J10"/>
    <mergeCell ref="K10:N10"/>
    <mergeCell ref="O10:P10"/>
    <mergeCell ref="L14:O14"/>
    <mergeCell ref="C11:D11"/>
    <mergeCell ref="F11:I11"/>
    <mergeCell ref="J11:K11"/>
    <mergeCell ref="L11:P11"/>
    <mergeCell ref="C12:D12"/>
    <mergeCell ref="E12:I12"/>
    <mergeCell ref="L12:N12"/>
    <mergeCell ref="O12:P12"/>
    <mergeCell ref="O15:P15"/>
    <mergeCell ref="B16:D16"/>
    <mergeCell ref="E16:F16"/>
    <mergeCell ref="G16:K16"/>
    <mergeCell ref="M16:N16"/>
    <mergeCell ref="C13:D13"/>
    <mergeCell ref="H13:K13"/>
    <mergeCell ref="N13:O13"/>
    <mergeCell ref="B14:D14"/>
    <mergeCell ref="H14:I14"/>
    <mergeCell ref="G18:K18"/>
    <mergeCell ref="M18:N18"/>
    <mergeCell ref="B15:D15"/>
    <mergeCell ref="E15:F15"/>
    <mergeCell ref="G15:K15"/>
    <mergeCell ref="M15:N15"/>
    <mergeCell ref="B20:D20"/>
    <mergeCell ref="E20:F20"/>
    <mergeCell ref="G20:K20"/>
    <mergeCell ref="M20:N20"/>
    <mergeCell ref="B17:D17"/>
    <mergeCell ref="E17:F17"/>
    <mergeCell ref="G17:K17"/>
    <mergeCell ref="M17:N17"/>
    <mergeCell ref="B18:D18"/>
    <mergeCell ref="E18:F18"/>
    <mergeCell ref="S62:U62"/>
    <mergeCell ref="S63:V63"/>
    <mergeCell ref="N64:P64"/>
    <mergeCell ref="S64:U64"/>
    <mergeCell ref="B21:C21"/>
    <mergeCell ref="E21:F21"/>
    <mergeCell ref="G21:K21"/>
    <mergeCell ref="M21:N21"/>
    <mergeCell ref="C23:F23"/>
    <mergeCell ref="C24:F24"/>
    <mergeCell ref="L117:M117"/>
    <mergeCell ref="L118:M118"/>
    <mergeCell ref="L120:M120"/>
    <mergeCell ref="H9:I9"/>
    <mergeCell ref="C25:F25"/>
    <mergeCell ref="N62:O62"/>
    <mergeCell ref="B19:D19"/>
    <mergeCell ref="E19:F19"/>
    <mergeCell ref="G19:K19"/>
    <mergeCell ref="M19:N19"/>
  </mergeCells>
  <printOptions/>
  <pageMargins left="0.75" right="0.75" top="1" bottom="1" header="0.5" footer="0.5"/>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S31"/>
  <sheetViews>
    <sheetView zoomScalePageLayoutView="0" workbookViewId="0" topLeftCell="A9">
      <selection activeCell="I10" sqref="I10"/>
    </sheetView>
  </sheetViews>
  <sheetFormatPr defaultColWidth="9.140625" defaultRowHeight="13.5" customHeight="1"/>
  <cols>
    <col min="1" max="1" width="5.00390625" style="0" customWidth="1"/>
    <col min="2" max="2" width="20.57421875" style="0" customWidth="1"/>
    <col min="3" max="3" width="10.28125" style="0" customWidth="1"/>
    <col min="4" max="4" width="8.28125" style="0" customWidth="1"/>
    <col min="5" max="5" width="8.140625" style="0" customWidth="1"/>
    <col min="6" max="6" width="5.140625" style="0" hidden="1" customWidth="1"/>
    <col min="7" max="7" width="3.8515625" style="0" bestFit="1" customWidth="1"/>
    <col min="8" max="8" width="4.28125" style="0" customWidth="1"/>
    <col min="9" max="9" width="7.28125" style="0" customWidth="1"/>
    <col min="10" max="10" width="4.8515625" style="0" hidden="1" customWidth="1"/>
    <col min="11" max="11" width="9.28125" style="0" customWidth="1"/>
    <col min="12" max="12" width="8.421875" style="0" customWidth="1"/>
    <col min="13" max="13" width="8.00390625" style="0" customWidth="1"/>
    <col min="14" max="14" width="7.28125" style="0" customWidth="1"/>
    <col min="15" max="15" width="6.421875" style="0" customWidth="1"/>
    <col min="16" max="16" width="6.28125" style="0" customWidth="1"/>
    <col min="17" max="17" width="5.28125" style="0" customWidth="1"/>
    <col min="18" max="18" width="9.7109375" style="0" customWidth="1"/>
    <col min="19" max="19" width="9.140625" style="326" customWidth="1"/>
  </cols>
  <sheetData>
    <row r="1" spans="1:18" ht="27.75" customHeight="1">
      <c r="A1" s="425" t="str">
        <f>DATA!AF64</f>
        <v>Statement Showing the Salary Particulars of : Sri. K.LINGA REDDY, SGT, , PS KOYALAPAHAD, Mandal : TRIPURARAM</v>
      </c>
      <c r="B1" s="425"/>
      <c r="C1" s="425"/>
      <c r="D1" s="425"/>
      <c r="E1" s="425"/>
      <c r="F1" s="425"/>
      <c r="G1" s="425"/>
      <c r="H1" s="425"/>
      <c r="I1" s="425"/>
      <c r="J1" s="425"/>
      <c r="K1" s="425"/>
      <c r="L1" s="425"/>
      <c r="M1" s="425"/>
      <c r="N1" s="425"/>
      <c r="O1" s="425"/>
      <c r="P1" s="425"/>
      <c r="Q1" s="425"/>
      <c r="R1" s="425"/>
    </row>
    <row r="2" spans="1:18" ht="2.25" customHeight="1">
      <c r="A2" s="5"/>
      <c r="B2" s="5"/>
      <c r="C2" s="5"/>
      <c r="D2" s="5"/>
      <c r="E2" s="5"/>
      <c r="F2" s="5"/>
      <c r="G2" s="5"/>
      <c r="H2" s="5"/>
      <c r="I2" s="5"/>
      <c r="J2" s="5"/>
      <c r="K2" s="5"/>
      <c r="L2" s="5"/>
      <c r="M2" s="5"/>
      <c r="N2" s="5"/>
      <c r="O2" s="5"/>
      <c r="P2" s="5"/>
      <c r="Q2" s="5"/>
      <c r="R2" s="5"/>
    </row>
    <row r="3" spans="1:19" ht="38.25">
      <c r="A3" s="93" t="s">
        <v>134</v>
      </c>
      <c r="B3" s="93" t="s">
        <v>79</v>
      </c>
      <c r="C3" s="93" t="s">
        <v>211</v>
      </c>
      <c r="D3" s="93" t="s">
        <v>132</v>
      </c>
      <c r="E3" s="93" t="s">
        <v>549</v>
      </c>
      <c r="F3" s="93" t="s">
        <v>95</v>
      </c>
      <c r="G3" s="93" t="s">
        <v>510</v>
      </c>
      <c r="H3" s="93" t="s">
        <v>118</v>
      </c>
      <c r="I3" s="93" t="s">
        <v>190</v>
      </c>
      <c r="J3" s="93" t="s">
        <v>53</v>
      </c>
      <c r="K3" s="93" t="s">
        <v>202</v>
      </c>
      <c r="L3" s="93" t="str">
        <f>DATA!AB24</f>
        <v>ZP GPF</v>
      </c>
      <c r="M3" s="93" t="s">
        <v>542</v>
      </c>
      <c r="N3" s="93" t="s">
        <v>45</v>
      </c>
      <c r="O3" s="93" t="s">
        <v>394</v>
      </c>
      <c r="P3" s="93" t="s">
        <v>80</v>
      </c>
      <c r="Q3" s="93" t="s">
        <v>520</v>
      </c>
      <c r="R3" s="329" t="s">
        <v>96</v>
      </c>
      <c r="S3" s="269" t="s">
        <v>576</v>
      </c>
    </row>
    <row r="4" spans="1:19" ht="16.5" customHeight="1">
      <c r="A4" s="112">
        <v>1</v>
      </c>
      <c r="B4" s="271" t="str">
        <f>DATA!AO23</f>
        <v>March,10</v>
      </c>
      <c r="C4" s="267">
        <f>DATA!AP23</f>
        <v>14440</v>
      </c>
      <c r="D4" s="267">
        <f>ROUND(((C4*9.416)/100),0.1)</f>
        <v>1360</v>
      </c>
      <c r="E4" s="267">
        <f>IF(AND((DATA!Q48=30),(ROUND(((C4*DATA!Q48)/100),0.1)&gt;12000)),12000,IF(AND((DATA!Q48=30),(ROUND(((C4*DATA!Q48)/100),0.1)&lt;=12000)),ROUND(((C4*DATA!Q48)/100),0.1),IF(AND((DATA!Q48&lt;30),(ROUND(((C4*DATA!Q48)/100),0.1)&gt;8000)),8000,IF(AND((DATA!Q48&lt;30),(ROUND(((C4*DATA!Q48)/100),0.1)&lt;=8000)),ROUND(((C4*DATA!Q48)/100),0.1)))))</f>
        <v>1444</v>
      </c>
      <c r="F4" s="267">
        <f>DATA!AC46</f>
        <v>0</v>
      </c>
      <c r="G4" s="267">
        <f>DATA!L5</f>
        <v>0</v>
      </c>
      <c r="H4" s="267">
        <f>DATA!N5</f>
        <v>0</v>
      </c>
      <c r="I4" s="267">
        <f>DATA!P5</f>
        <v>0</v>
      </c>
      <c r="J4" s="268">
        <f>IF(AND((DATA!AC65=2)),0,IF(AND((ROUND((C4/10),0.1)&lt;650)),(ROUND((C4/10),0.1)),IF(AND((ROUND((C4/10),0.1)&gt;650)),650)))</f>
        <v>0</v>
      </c>
      <c r="K4" s="267">
        <f aca="true" t="shared" si="0" ref="K4:K25">SUM(C4:J4)</f>
        <v>17244</v>
      </c>
      <c r="L4" s="267">
        <f>IF(AND((DATA!AA24=3)),(ROUND((TABLE!C4/10),0.1)+ROUND((TABLE!D4/10),0.1)),DATA!S48)</f>
        <v>300</v>
      </c>
      <c r="M4" s="267">
        <f>DATA!T48</f>
        <v>200</v>
      </c>
      <c r="N4" s="267">
        <f>DATA!AE15</f>
        <v>30</v>
      </c>
      <c r="O4" s="267">
        <f>IF(AND((DATA!AC65=1)),0,IF(AND((K4&gt;5000),(K4&lt;=6000)),60,IF(AND((K4&gt;6000),(K4&lt;=10000)),80,IF(AND((K4&gt;10000),(K4&lt;=15000)),100,IF(AND((K4&gt;15000),(K4&lt;=20000)),150,IF(AND((K4&gt;20000)),200))))))</f>
        <v>150</v>
      </c>
      <c r="P4" s="267">
        <f>DATA!E14</f>
        <v>0</v>
      </c>
      <c r="Q4" s="267">
        <f>IF((DATA!Z2=5),50,20)</f>
        <v>20</v>
      </c>
      <c r="R4" s="267">
        <f aca="true" t="shared" si="1" ref="R4:R25">SUM(L4:Q4)</f>
        <v>700</v>
      </c>
      <c r="S4" s="327">
        <f>K4-R4</f>
        <v>16544</v>
      </c>
    </row>
    <row r="5" spans="1:19" ht="16.5" customHeight="1">
      <c r="A5" s="112">
        <v>2</v>
      </c>
      <c r="B5" s="271" t="str">
        <f>DATA!AO24</f>
        <v>April,10</v>
      </c>
      <c r="C5" s="267">
        <f>DATA!AP24</f>
        <v>14440</v>
      </c>
      <c r="D5" s="267">
        <f>ROUND(((C5*9.416)/100),0.1)</f>
        <v>1360</v>
      </c>
      <c r="E5" s="267">
        <f>IF(AND((DATA!Q49=30),(ROUND(((C5*DATA!Q49)/100),0.1)&gt;12000)),12000,IF(AND((DATA!Q49=30),(ROUND(((C5*DATA!Q49)/100),0.1)&lt;=12000)),ROUND(((C5*DATA!Q49)/100),0.1),IF(AND((DATA!Q49&lt;30),(ROUND(((C5*DATA!Q49)/100),0.1)&gt;8000)),8000,IF(AND((DATA!Q49&lt;30),(ROUND(((C5*DATA!Q49)/100),0.1)&lt;=8000)),ROUND(((C5*DATA!Q49)/100),0.1)))))</f>
        <v>1444</v>
      </c>
      <c r="F5" s="267">
        <f aca="true" t="shared" si="2" ref="F5:F15">F4</f>
        <v>0</v>
      </c>
      <c r="G5" s="267">
        <f aca="true" t="shared" si="3" ref="G5:G15">G4</f>
        <v>0</v>
      </c>
      <c r="H5" s="267">
        <f aca="true" t="shared" si="4" ref="H5:H15">H4</f>
        <v>0</v>
      </c>
      <c r="I5" s="267">
        <f aca="true" t="shared" si="5" ref="I5:I15">I4</f>
        <v>0</v>
      </c>
      <c r="J5" s="268">
        <f>IF(AND((DATA!AC65=2)),0,IF(AND((ROUND((C6/10),0.1)&lt;690)),(ROUND(((C6*23)/300),0.1)),IF(AND((ROUND(((C6*23)/300),0.1)&gt;690)),690)))</f>
        <v>0</v>
      </c>
      <c r="K5" s="267">
        <f t="shared" si="0"/>
        <v>17244</v>
      </c>
      <c r="L5" s="267">
        <f>IF(AND((DATA!AA24=3)),(ROUND((TABLE!C5/10),0.1)+ROUND((TABLE!D5/10),0.1)),DATA!$S$49)</f>
        <v>300</v>
      </c>
      <c r="M5" s="267">
        <f>DATA!T49</f>
        <v>200</v>
      </c>
      <c r="N5" s="267">
        <f aca="true" t="shared" si="6" ref="N5:N15">N4</f>
        <v>30</v>
      </c>
      <c r="O5" s="267">
        <f>IF(AND((DATA!AC65=1)),0,IF(AND((K5&gt;5000),(K5&lt;=6000)),60,IF(AND((K5&gt;6000),(K5&lt;=10000)),80,IF(AND((K5&gt;10000),(K5&lt;=15000)),100,IF(AND((K5&gt;15000),(K5&lt;=20000)),150,IF(AND((K5&gt;20000)),200))))))</f>
        <v>150</v>
      </c>
      <c r="P5" s="267">
        <f aca="true" t="shared" si="7" ref="P5:P15">P4</f>
        <v>0</v>
      </c>
      <c r="Q5" s="267">
        <v>0</v>
      </c>
      <c r="R5" s="267">
        <f t="shared" si="1"/>
        <v>680</v>
      </c>
      <c r="S5" s="327">
        <f aca="true" t="shared" si="8" ref="S5:S25">K5-R5</f>
        <v>16564</v>
      </c>
    </row>
    <row r="6" spans="1:19" ht="16.5" customHeight="1">
      <c r="A6" s="112">
        <v>3</v>
      </c>
      <c r="B6" s="271" t="str">
        <f>DATA!AO25</f>
        <v>May,10</v>
      </c>
      <c r="C6" s="267">
        <f>DATA!AP25</f>
        <v>14860</v>
      </c>
      <c r="D6" s="267">
        <f>ROUND(((C6*9.416)/100),0.1)</f>
        <v>1399</v>
      </c>
      <c r="E6" s="267">
        <f>IF(AND((DATA!Q50=30),(ROUND(((C6*DATA!Q50)/100),0.1)&gt;12000)),12000,IF(AND((DATA!Q50=30),(ROUND(((C6*DATA!Q50)/100),0.1)&lt;=12000)),ROUND(((C6*DATA!Q50)/100),0.1),IF(AND((DATA!Q50&lt;30),(ROUND(((C6*DATA!Q50)/100),0.1)&gt;8000)),8000,IF(AND((DATA!Q50&lt;30),(ROUND(((C6*DATA!Q50)/100),0.1)&lt;=8000)),ROUND(((C6*DATA!Q50)/100),0.1)))))</f>
        <v>1486</v>
      </c>
      <c r="F6" s="267">
        <f t="shared" si="2"/>
        <v>0</v>
      </c>
      <c r="G6" s="267">
        <f t="shared" si="3"/>
        <v>0</v>
      </c>
      <c r="H6" s="267">
        <f t="shared" si="4"/>
        <v>0</v>
      </c>
      <c r="I6" s="267">
        <f t="shared" si="5"/>
        <v>0</v>
      </c>
      <c r="J6" s="268">
        <v>0</v>
      </c>
      <c r="K6" s="267">
        <f t="shared" si="0"/>
        <v>17745</v>
      </c>
      <c r="L6" s="267">
        <f>IF(AND((DATA!AA24=3)),(ROUND((TABLE!C6/10),0.1)+ROUND((TABLE!D6/10),0.1)),DATA!$S$50)</f>
        <v>300</v>
      </c>
      <c r="M6" s="267">
        <f>DATA!T50</f>
        <v>200</v>
      </c>
      <c r="N6" s="267">
        <f t="shared" si="6"/>
        <v>30</v>
      </c>
      <c r="O6" s="267">
        <f>IF(AND((DATA!AC65=1)),0,IF(AND((K6&gt;5000),(K6&lt;=6000)),60,IF(AND((K6&gt;6000),(K6&lt;=10000)),80,IF(AND((K6&gt;10000),(K6&lt;=15000)),100,IF(AND((K6&gt;15000),(K6&lt;=20000)),150,IF(AND((K6&gt;20000)),200))))))</f>
        <v>150</v>
      </c>
      <c r="P6" s="267">
        <f t="shared" si="7"/>
        <v>0</v>
      </c>
      <c r="Q6" s="267">
        <v>0</v>
      </c>
      <c r="R6" s="267">
        <f t="shared" si="1"/>
        <v>680</v>
      </c>
      <c r="S6" s="327">
        <f t="shared" si="8"/>
        <v>17065</v>
      </c>
    </row>
    <row r="7" spans="1:19" ht="16.5" customHeight="1">
      <c r="A7" s="112">
        <v>4</v>
      </c>
      <c r="B7" s="271" t="str">
        <f>DATA!AO26</f>
        <v>June,10</v>
      </c>
      <c r="C7" s="267">
        <f>DATA!AP26</f>
        <v>14860</v>
      </c>
      <c r="D7" s="267">
        <f>ROUND(((C7*9.416)/100),0.1)</f>
        <v>1399</v>
      </c>
      <c r="E7" s="267">
        <f>IF(AND((DATA!Q51=30),(ROUND(((C7*DATA!Q51)/100),0.1)&gt;12000)),12000,IF(AND((DATA!Q51=30),(ROUND(((C7*DATA!Q51)/100),0.1)&lt;=12000)),ROUND(((C7*DATA!Q51)/100),0.1),IF(AND((DATA!Q51&lt;30),(ROUND(((C7*DATA!Q51)/100),0.1)&gt;8000)),8000,IF(AND((DATA!Q51&lt;30),(ROUND(((C7*DATA!Q51)/100),0.1)&lt;=8000)),ROUND(((C7*DATA!Q51)/100),0.1)))))</f>
        <v>1486</v>
      </c>
      <c r="F7" s="267">
        <f t="shared" si="2"/>
        <v>0</v>
      </c>
      <c r="G7" s="267">
        <f t="shared" si="3"/>
        <v>0</v>
      </c>
      <c r="H7" s="267">
        <f t="shared" si="4"/>
        <v>0</v>
      </c>
      <c r="I7" s="267">
        <f t="shared" si="5"/>
        <v>0</v>
      </c>
      <c r="J7" s="268">
        <f>IF(AND((DATA!AC65=2)),0,IF(AND((ROUND((C6/10),0.1)&lt;510)),(ROUND(((C6*17)/300),0.1)),IF(AND((ROUND(((C6*17)/300),0.1)&gt;510)),510)))</f>
        <v>0</v>
      </c>
      <c r="K7" s="267">
        <f t="shared" si="0"/>
        <v>17745</v>
      </c>
      <c r="L7" s="267">
        <f>IF(AND((DATA!AA24=3)),(ROUND((TABLE!C7/10),0.1)+ROUND((TABLE!D7/10),0.1)),DATA!$S$51)</f>
        <v>300</v>
      </c>
      <c r="M7" s="267">
        <f>DATA!T51</f>
        <v>200</v>
      </c>
      <c r="N7" s="267">
        <f t="shared" si="6"/>
        <v>30</v>
      </c>
      <c r="O7" s="267">
        <f>IF(AND((DATA!AC65=1)),0,IF(AND((K7&gt;5000),(K7&lt;=6000)),60,IF(AND((K7&gt;6000),(K7&lt;=10000)),80,IF(AND((K7&gt;10000),(K7&lt;=15000)),100,IF(AND((K7&gt;15000),(K7&lt;=20000)),150,IF(AND((K7&gt;20000)),200))))))</f>
        <v>150</v>
      </c>
      <c r="P7" s="267">
        <f t="shared" si="7"/>
        <v>0</v>
      </c>
      <c r="Q7" s="267">
        <v>0</v>
      </c>
      <c r="R7" s="267">
        <f t="shared" si="1"/>
        <v>680</v>
      </c>
      <c r="S7" s="327">
        <f t="shared" si="8"/>
        <v>17065</v>
      </c>
    </row>
    <row r="8" spans="1:19" ht="16.5" customHeight="1">
      <c r="A8" s="112">
        <v>5</v>
      </c>
      <c r="B8" s="271" t="str">
        <f>DATA!AO43</f>
        <v>July,10</v>
      </c>
      <c r="C8" s="267">
        <f>DATA!AP43</f>
        <v>14860</v>
      </c>
      <c r="D8" s="267">
        <f>ROUND(((C8*16.264)/100),0.1)</f>
        <v>2417</v>
      </c>
      <c r="E8" s="267">
        <f>IF(AND((DATA!Q52=30),(ROUND(((C8*DATA!Q52)/100),0.1)&gt;12000)),12000,IF(AND((DATA!Q52=30),(ROUND(((C8*DATA!Q52)/100),0.1)&lt;=12000)),ROUND(((C8*DATA!Q52)/100),0.1),IF(AND((DATA!Q52&lt;30),(ROUND(((C8*DATA!Q52)/100),0.1)&gt;8000)),8000,IF(AND((DATA!Q52&lt;30),(ROUND(((C8*DATA!Q52)/100),0.1)&lt;=8000)),ROUND(((C8*DATA!Q52)/100),0.1)))))</f>
        <v>1486</v>
      </c>
      <c r="F8" s="267">
        <f t="shared" si="2"/>
        <v>0</v>
      </c>
      <c r="G8" s="267">
        <f t="shared" si="3"/>
        <v>0</v>
      </c>
      <c r="H8" s="267">
        <f t="shared" si="4"/>
        <v>0</v>
      </c>
      <c r="I8" s="267">
        <f t="shared" si="5"/>
        <v>0</v>
      </c>
      <c r="J8" s="268">
        <f>IF(AND((DATA!AC65=2)),0,IF(AND((ROUND((C8/10),0.1)&lt;900)),(ROUND((C8/10),0.1)),IF(AND((ROUND((C8/10),0.1)&gt;900)),900)))</f>
        <v>0</v>
      </c>
      <c r="K8" s="267">
        <f t="shared" si="0"/>
        <v>18763</v>
      </c>
      <c r="L8" s="267">
        <f>IF(AND((DATA!AA24=3)),(ROUND((TABLE!C8/10),0.1)+ROUND((TABLE!D8/10),0.1)),DATA!$S$52)</f>
        <v>300</v>
      </c>
      <c r="M8" s="267">
        <f>DATA!T52</f>
        <v>200</v>
      </c>
      <c r="N8" s="267">
        <f t="shared" si="6"/>
        <v>30</v>
      </c>
      <c r="O8" s="267">
        <f>IF(AND((DATA!AC65=1)),0,IF(AND((K8&gt;5000),(K8&lt;=6000)),60,IF(AND((K8&gt;6000),(K8&lt;=10000)),80,IF(AND((K8&gt;10000),(K8&lt;=15000)),100,IF(AND((K8&gt;15000),(K8&lt;=20000)),150,IF(AND((K8&gt;20000)),200))))))</f>
        <v>150</v>
      </c>
      <c r="P8" s="267">
        <f t="shared" si="7"/>
        <v>0</v>
      </c>
      <c r="Q8" s="267">
        <v>0</v>
      </c>
      <c r="R8" s="267">
        <f t="shared" si="1"/>
        <v>680</v>
      </c>
      <c r="S8" s="327">
        <f t="shared" si="8"/>
        <v>18083</v>
      </c>
    </row>
    <row r="9" spans="1:19" ht="16.5" customHeight="1">
      <c r="A9" s="112">
        <v>6</v>
      </c>
      <c r="B9" s="271" t="str">
        <f>DATA!AO44</f>
        <v>Aug,10</v>
      </c>
      <c r="C9" s="267">
        <f>DATA!AP44</f>
        <v>14860</v>
      </c>
      <c r="D9" s="267">
        <f>ROUND(((C9*16.264)/100),0.1)</f>
        <v>2417</v>
      </c>
      <c r="E9" s="267">
        <f>IF(AND((DATA!Q53=30),(ROUND(((C9*DATA!Q53)/100),0.1)&gt;12000)),12000,IF(AND((DATA!Q53=30),(ROUND(((C9*DATA!Q53)/100),0.1)&lt;=12000)),ROUND(((C9*DATA!Q53)/100),0.1),IF(AND((DATA!Q53&lt;30),(ROUND(((C9*DATA!Q53)/100),0.1)&gt;8000)),8000,IF(AND((DATA!Q53&lt;30),(ROUND(((C9*DATA!Q53)/100),0.1)&lt;=8000)),ROUND(((C9*DATA!Q53)/100),0.1)))))</f>
        <v>1486</v>
      </c>
      <c r="F9" s="267">
        <f t="shared" si="2"/>
        <v>0</v>
      </c>
      <c r="G9" s="267">
        <f t="shared" si="3"/>
        <v>0</v>
      </c>
      <c r="H9" s="267">
        <f t="shared" si="4"/>
        <v>0</v>
      </c>
      <c r="I9" s="267">
        <f t="shared" si="5"/>
        <v>0</v>
      </c>
      <c r="J9" s="268">
        <f>IF(AND((DATA!AC65=2)),0,IF(AND((ROUND((C9/10),0.1)&lt;900)),(ROUND((C9/10),0.1)),IF(AND((ROUND((C9/10),0.1)&gt;900)),900)))</f>
        <v>0</v>
      </c>
      <c r="K9" s="267">
        <f t="shared" si="0"/>
        <v>18763</v>
      </c>
      <c r="L9" s="267">
        <f>IF(AND((DATA!AA24=3)),(ROUND((TABLE!C9/10),0.1)+ROUND((TABLE!D9/10),0.1)),DATA!$S$53)</f>
        <v>300</v>
      </c>
      <c r="M9" s="267">
        <f>DATA!T53</f>
        <v>200</v>
      </c>
      <c r="N9" s="267">
        <f t="shared" si="6"/>
        <v>30</v>
      </c>
      <c r="O9" s="267">
        <f>IF(AND((DATA!AC65=1)),0,IF(AND((K9&gt;5000),(K9&lt;=6000)),60,IF(AND((K9&gt;6000),(K9&lt;=10000)),80,IF(AND((K9&gt;10000),(K9&lt;=15000)),100,IF(AND((K9&gt;15000),(K9&lt;=20000)),150,IF(AND((K9&gt;20000)),200))))))</f>
        <v>150</v>
      </c>
      <c r="P9" s="267">
        <f t="shared" si="7"/>
        <v>0</v>
      </c>
      <c r="Q9" s="267">
        <v>0</v>
      </c>
      <c r="R9" s="267">
        <f t="shared" si="1"/>
        <v>680</v>
      </c>
      <c r="S9" s="327">
        <f t="shared" si="8"/>
        <v>18083</v>
      </c>
    </row>
    <row r="10" spans="1:19" ht="16.5" customHeight="1">
      <c r="A10" s="112">
        <v>7</v>
      </c>
      <c r="B10" s="271" t="str">
        <f>DATA!AO45</f>
        <v>Sept,10</v>
      </c>
      <c r="C10" s="267">
        <f>DATA!AP45</f>
        <v>14860</v>
      </c>
      <c r="D10" s="267">
        <f>ROUND(((C10*16.264)/100),0.1)</f>
        <v>2417</v>
      </c>
      <c r="E10" s="267">
        <f>IF(AND((DATA!Q54=30),(ROUND(((C10*DATA!Q54)/100),0.1)&gt;12000)),12000,IF(AND((DATA!Q54=30),(ROUND(((C10*DATA!Q54)/100),0.1)&lt;=12000)),ROUND(((C10*DATA!Q54)/100),0.1),IF(AND((DATA!Q54&lt;30),(ROUND(((C10*DATA!Q54)/100),0.1)&gt;8000)),8000,IF(AND((DATA!Q54&lt;30),(ROUND(((C10*DATA!Q54)/100),0.1)&lt;=8000)),ROUND(((C10*DATA!Q54)/100),0.1)))))</f>
        <v>1486</v>
      </c>
      <c r="F10" s="267">
        <f t="shared" si="2"/>
        <v>0</v>
      </c>
      <c r="G10" s="267">
        <f t="shared" si="3"/>
        <v>0</v>
      </c>
      <c r="H10" s="267">
        <f t="shared" si="4"/>
        <v>0</v>
      </c>
      <c r="I10" s="267">
        <f t="shared" si="5"/>
        <v>0</v>
      </c>
      <c r="J10" s="268">
        <f>IF(AND((DATA!AC65=2)),0,IF(AND((ROUND((C10/10),0.1)&lt;900)),(ROUND((C10/10),0.1)),IF(AND((ROUND((C10/10),0.1)&gt;900)),900)))</f>
        <v>0</v>
      </c>
      <c r="K10" s="267">
        <f t="shared" si="0"/>
        <v>18763</v>
      </c>
      <c r="L10" s="267">
        <f>IF(AND((DATA!AA24=3)),(ROUND((TABLE!C10/10),0.1)+ROUND((TABLE!D10/10),0.1)),DATA!$S$54)</f>
        <v>900</v>
      </c>
      <c r="M10" s="267">
        <f>DATA!T54</f>
        <v>450</v>
      </c>
      <c r="N10" s="267">
        <f t="shared" si="6"/>
        <v>30</v>
      </c>
      <c r="O10" s="267">
        <f>IF(AND((DATA!AC65=1)),0,IF(AND((K10&gt;5000),(K10&lt;=6000)),60,IF(AND((K10&gt;6000),(K10&lt;=10000)),80,IF(AND((K10&gt;10000),(K10&lt;=15000)),100,IF(AND((K10&gt;15000),(K10&lt;=20000)),150,IF(AND((K10&gt;20000)),200))))))</f>
        <v>150</v>
      </c>
      <c r="P10" s="267">
        <f t="shared" si="7"/>
        <v>0</v>
      </c>
      <c r="Q10" s="267">
        <v>0</v>
      </c>
      <c r="R10" s="267">
        <f t="shared" si="1"/>
        <v>1530</v>
      </c>
      <c r="S10" s="327">
        <f t="shared" si="8"/>
        <v>17233</v>
      </c>
    </row>
    <row r="11" spans="1:19" ht="16.5" customHeight="1">
      <c r="A11" s="112">
        <v>8</v>
      </c>
      <c r="B11" s="271" t="str">
        <f>DATA!AO46</f>
        <v>Oct,10</v>
      </c>
      <c r="C11" s="267">
        <f>DATA!AP46</f>
        <v>14860</v>
      </c>
      <c r="D11" s="267">
        <f>ROUND(((C11*16.264)/100),0.1)</f>
        <v>2417</v>
      </c>
      <c r="E11" s="267">
        <f>IF(AND((DATA!Q55=30),(ROUND(((C11*DATA!Q55)/100),0.1)&gt;12000)),12000,IF(AND((DATA!Q55=30),(ROUND(((C11*DATA!Q55)/100),0.1)&lt;=12000)),ROUND(((C11*DATA!Q55)/100),0.1),IF(AND((DATA!Q55&lt;30),(ROUND(((C11*DATA!Q55)/100),0.1)&gt;8000)),8000,IF(AND((DATA!Q55&lt;30),(ROUND(((C11*DATA!Q55)/100),0.1)&lt;=8000)),ROUND(((C11*DATA!Q55)/100),0.1)))))</f>
        <v>1486</v>
      </c>
      <c r="F11" s="267">
        <f t="shared" si="2"/>
        <v>0</v>
      </c>
      <c r="G11" s="267">
        <f t="shared" si="3"/>
        <v>0</v>
      </c>
      <c r="H11" s="267">
        <f t="shared" si="4"/>
        <v>0</v>
      </c>
      <c r="I11" s="267">
        <f t="shared" si="5"/>
        <v>0</v>
      </c>
      <c r="J11" s="268">
        <f>IF(AND((DATA!AC65=2)),0,IF(AND((ROUND((C11/10),0.1)&lt;900)),(ROUND((C11/10),0.1)),IF(AND((ROUND((C11/10),0.1)&gt;900)),900)))</f>
        <v>0</v>
      </c>
      <c r="K11" s="267">
        <f t="shared" si="0"/>
        <v>18763</v>
      </c>
      <c r="L11" s="267">
        <f>IF(AND((DATA!AA24=3)),(ROUND((TABLE!C11/10),0.1)+ROUND((TABLE!D11/10),0.1)),DATA!$S$55)</f>
        <v>900</v>
      </c>
      <c r="M11" s="267">
        <f>DATA!T55</f>
        <v>450</v>
      </c>
      <c r="N11" s="267">
        <f t="shared" si="6"/>
        <v>30</v>
      </c>
      <c r="O11" s="267">
        <f>IF(AND((DATA!AC65=1)),0,IF(AND((K11&gt;5000),(K11&lt;=6000)),60,IF(AND((K11&gt;6000),(K11&lt;=10000)),80,IF(AND((K11&gt;10000),(K11&lt;=15000)),100,IF(AND((K11&gt;15000),(K11&lt;=20000)),150,IF(AND((K11&gt;20000)),200))))))</f>
        <v>150</v>
      </c>
      <c r="P11" s="267">
        <f t="shared" si="7"/>
        <v>0</v>
      </c>
      <c r="Q11" s="267">
        <v>0</v>
      </c>
      <c r="R11" s="267">
        <f t="shared" si="1"/>
        <v>1530</v>
      </c>
      <c r="S11" s="327">
        <f t="shared" si="8"/>
        <v>17233</v>
      </c>
    </row>
    <row r="12" spans="1:19" ht="16.5" customHeight="1">
      <c r="A12" s="112">
        <v>9</v>
      </c>
      <c r="B12" s="271" t="str">
        <f>DATA!AO47</f>
        <v>Nov,10</v>
      </c>
      <c r="C12" s="267">
        <f>DATA!AP47</f>
        <v>14860</v>
      </c>
      <c r="D12" s="267">
        <f>ROUND(((C12*16.264)/100),0.1)</f>
        <v>2417</v>
      </c>
      <c r="E12" s="267">
        <f>IF(AND((DATA!Q56=30),(ROUND(((C12*DATA!Q56)/100),0.1)&gt;12000)),12000,IF(AND((DATA!Q56=30),(ROUND(((C12*DATA!Q56)/100),0.1)&lt;=12000)),ROUND(((C12*DATA!Q56)/100),0.1),IF(AND((DATA!Q56&lt;30),(ROUND(((C12*DATA!Q56)/100),0.1)&gt;8000)),8000,IF(AND((DATA!Q56&lt;30),(ROUND(((C12*DATA!Q56)/100),0.1)&lt;=8000)),ROUND(((C12*DATA!Q56)/100),0.1)))))</f>
        <v>1486</v>
      </c>
      <c r="F12" s="267">
        <f t="shared" si="2"/>
        <v>0</v>
      </c>
      <c r="G12" s="267">
        <f t="shared" si="3"/>
        <v>0</v>
      </c>
      <c r="H12" s="267">
        <f t="shared" si="4"/>
        <v>0</v>
      </c>
      <c r="I12" s="267">
        <f t="shared" si="5"/>
        <v>0</v>
      </c>
      <c r="J12" s="268">
        <f>IF(AND((DATA!AC65=2)),0,IF(AND((ROUND((C12/10),0.1)&lt;900)),(ROUND((C12/10),0.1)),IF(AND((ROUND((C12/10),0.1)&gt;900)),900)))</f>
        <v>0</v>
      </c>
      <c r="K12" s="267">
        <f t="shared" si="0"/>
        <v>18763</v>
      </c>
      <c r="L12" s="267">
        <f>IF(AND((DATA!AA24=3)),(ROUND((TABLE!C12/10),0.1)+ROUND((TABLE!D12/10),0.1)),DATA!$S$56)</f>
        <v>900</v>
      </c>
      <c r="M12" s="267">
        <f>DATA!T56</f>
        <v>450</v>
      </c>
      <c r="N12" s="267">
        <f t="shared" si="6"/>
        <v>30</v>
      </c>
      <c r="O12" s="267">
        <f>IF(AND((DATA!AC65=1)),0,IF(AND((K12&gt;5000),(K12&lt;=6000)),60,IF(AND((K12&gt;6000),(K12&lt;=10000)),80,IF(AND((K12&gt;10000),(K12&lt;=15000)),100,IF(AND((K12&gt;15000),(K12&lt;=20000)),150,IF(AND((K12&gt;20000)),200))))))</f>
        <v>150</v>
      </c>
      <c r="P12" s="267">
        <f t="shared" si="7"/>
        <v>0</v>
      </c>
      <c r="Q12" s="267">
        <v>0</v>
      </c>
      <c r="R12" s="267">
        <f t="shared" si="1"/>
        <v>1530</v>
      </c>
      <c r="S12" s="327">
        <f t="shared" si="8"/>
        <v>17233</v>
      </c>
    </row>
    <row r="13" spans="1:19" ht="16.5" customHeight="1">
      <c r="A13" s="112">
        <v>10</v>
      </c>
      <c r="B13" s="271" t="str">
        <f>DATA!AO48</f>
        <v>Dec,10</v>
      </c>
      <c r="C13" s="267">
        <f>DATA!AP48</f>
        <v>14860</v>
      </c>
      <c r="D13" s="267">
        <f>ROUND(((C13*24.824)/100),0.1)</f>
        <v>3689</v>
      </c>
      <c r="E13" s="267">
        <f>IF(AND((DATA!Q57=30),(ROUND(((C13*DATA!Q57)/100),0.1)&gt;12000)),12000,IF(AND((DATA!Q57=30),(ROUND(((C13*DATA!Q57)/100),0.1)&lt;=12000)),ROUND(((C13*DATA!Q57)/100),0.1),IF(AND((DATA!Q57&lt;30),(ROUND(((C13*DATA!Q57)/100),0.1)&gt;8000)),8000,IF(AND((DATA!Q57&lt;30),(ROUND(((C13*DATA!Q57)/100),0.1)&lt;=8000)),ROUND(((C13*DATA!Q57)/100),0.1)))))</f>
        <v>1486</v>
      </c>
      <c r="F13" s="267">
        <f t="shared" si="2"/>
        <v>0</v>
      </c>
      <c r="G13" s="267">
        <f t="shared" si="3"/>
        <v>0</v>
      </c>
      <c r="H13" s="267">
        <f t="shared" si="4"/>
        <v>0</v>
      </c>
      <c r="I13" s="267">
        <f t="shared" si="5"/>
        <v>0</v>
      </c>
      <c r="J13" s="268">
        <f>IF(AND((DATA!AC65=2)),0,IF(AND((ROUND((C13/10),0.1)&lt;900)),(ROUND((C13/10),0.1)),IF(AND((ROUND((C13/10),0.1)&gt;900)),900)))</f>
        <v>0</v>
      </c>
      <c r="K13" s="267">
        <f t="shared" si="0"/>
        <v>20035</v>
      </c>
      <c r="L13" s="267">
        <f>IF(AND((DATA!AA24=3)),(ROUND((TABLE!C13/10),0.1)+ROUND((TABLE!D13/10),0.1)),DATA!$S$57)</f>
        <v>900</v>
      </c>
      <c r="M13" s="267">
        <f>DATA!T57</f>
        <v>450</v>
      </c>
      <c r="N13" s="267">
        <f t="shared" si="6"/>
        <v>30</v>
      </c>
      <c r="O13" s="267">
        <f>IF(AND((DATA!AC65=1)),0,IF(AND((K13&gt;5000),(K13&lt;=6000)),60,IF(AND((K13&gt;6000),(K13&lt;=10000)),80,IF(AND((K13&gt;10000),(K13&lt;=15000)),100,IF(AND((K13&gt;15000),(K13&lt;=20000)),150,IF(AND((K13&gt;20000)),200))))))</f>
        <v>200</v>
      </c>
      <c r="P13" s="267">
        <f t="shared" si="7"/>
        <v>0</v>
      </c>
      <c r="Q13" s="267">
        <v>0</v>
      </c>
      <c r="R13" s="267">
        <f t="shared" si="1"/>
        <v>1580</v>
      </c>
      <c r="S13" s="327">
        <f t="shared" si="8"/>
        <v>18455</v>
      </c>
    </row>
    <row r="14" spans="1:19" ht="16.5" customHeight="1">
      <c r="A14" s="112">
        <v>11</v>
      </c>
      <c r="B14" s="271" t="str">
        <f>DATA!AO49</f>
        <v>Jan,11</v>
      </c>
      <c r="C14" s="267">
        <f>DATA!AP49</f>
        <v>14860</v>
      </c>
      <c r="D14" s="267">
        <f>ROUND(((C14*24.824)/100),0.1)</f>
        <v>3689</v>
      </c>
      <c r="E14" s="267">
        <f>IF(AND((DATA!Q58=30),(ROUND(((C14*DATA!Q58)/100),0.1)&gt;12000)),12000,IF(AND((DATA!Q58=30),(ROUND(((C14*DATA!Q58)/100),0.1)&lt;=12000)),ROUND(((C14*DATA!Q58)/100),0.1),IF(AND((DATA!Q58&lt;30),(ROUND(((C14*DATA!Q58)/100),0.1)&gt;8000)),8000,IF(AND((DATA!Q58&lt;30),(ROUND(((C14*DATA!Q58)/100),0.1)&lt;=8000)),ROUND(((C14*DATA!Q58)/100),0.1)))))</f>
        <v>1486</v>
      </c>
      <c r="F14" s="267">
        <f t="shared" si="2"/>
        <v>0</v>
      </c>
      <c r="G14" s="267">
        <f t="shared" si="3"/>
        <v>0</v>
      </c>
      <c r="H14" s="267">
        <f t="shared" si="4"/>
        <v>0</v>
      </c>
      <c r="I14" s="267">
        <f t="shared" si="5"/>
        <v>0</v>
      </c>
      <c r="J14" s="268">
        <f>IF(AND((DATA!AC65=2)),0,IF(AND((ROUND((C14/10),0.1)&lt;900)),(ROUND((C14/10),0.1)),IF(AND((ROUND((C14/10),0.1)&gt;900)),900)))</f>
        <v>0</v>
      </c>
      <c r="K14" s="267">
        <f t="shared" si="0"/>
        <v>20035</v>
      </c>
      <c r="L14" s="267">
        <f>IF(AND((DATA!AA24=3)),(ROUND((TABLE!C14/10),0.1)+ROUND((TABLE!D14/10),0.1)),DATA!$S$58)</f>
        <v>900</v>
      </c>
      <c r="M14" s="267">
        <f>DATA!T58</f>
        <v>450</v>
      </c>
      <c r="N14" s="267">
        <f t="shared" si="6"/>
        <v>30</v>
      </c>
      <c r="O14" s="267">
        <f>IF(AND((DATA!AC65=1)),0,IF(AND((K14&gt;5000),(K14&lt;=6000)),60,IF(AND((K14&gt;6000),(K14&lt;=10000)),80,IF(AND((K14&gt;10000),(K14&lt;=15000)),100,IF(AND((K14&gt;15000),(K14&lt;=20000)),150,IF(AND((K14&gt;20000)),200))))))</f>
        <v>200</v>
      </c>
      <c r="P14" s="267">
        <f t="shared" si="7"/>
        <v>0</v>
      </c>
      <c r="Q14" s="267">
        <f>IF((DATA!Z2=5),50,20)</f>
        <v>20</v>
      </c>
      <c r="R14" s="267">
        <f t="shared" si="1"/>
        <v>1600</v>
      </c>
      <c r="S14" s="327">
        <f t="shared" si="8"/>
        <v>18435</v>
      </c>
    </row>
    <row r="15" spans="1:19" ht="16.5" customHeight="1">
      <c r="A15" s="112">
        <v>12</v>
      </c>
      <c r="B15" s="271" t="str">
        <f>DATA!AO50</f>
        <v>Feb,11</v>
      </c>
      <c r="C15" s="267">
        <f>DATA!AP50</f>
        <v>14860</v>
      </c>
      <c r="D15" s="267">
        <f>ROUND(((C15*24.824)/100),0.1)</f>
        <v>3689</v>
      </c>
      <c r="E15" s="267">
        <f>IF(AND((DATA!Q59=30),(ROUND(((C15*DATA!Q59)/100),0.1)&gt;12000)),12000,IF(AND((DATA!Q59=30),(ROUND(((C15*DATA!Q59)/100),0.1)&lt;=12000)),ROUND(((C15*DATA!Q59)/100),0.1),IF(AND((DATA!Q59&lt;30),(ROUND(((C15*DATA!Q59)/100),0.1)&gt;8000)),8000,IF(AND((DATA!Q59&lt;30),(ROUND(((C15*DATA!Q59)/100),0.1)&lt;=8000)),ROUND(((C15*DATA!Q59)/100),0.1)))))</f>
        <v>1486</v>
      </c>
      <c r="F15" s="267">
        <f t="shared" si="2"/>
        <v>0</v>
      </c>
      <c r="G15" s="267">
        <f t="shared" si="3"/>
        <v>0</v>
      </c>
      <c r="H15" s="267">
        <f t="shared" si="4"/>
        <v>0</v>
      </c>
      <c r="I15" s="267">
        <f t="shared" si="5"/>
        <v>0</v>
      </c>
      <c r="J15" s="268">
        <f>IF(AND((DATA!AC65=2)),0,IF(AND((ROUND((C15/10),0.1)&lt;900)),(ROUND((C15/10),0.1)),IF(AND((ROUND((C15/10),0.1)&gt;900)),900)))</f>
        <v>0</v>
      </c>
      <c r="K15" s="267">
        <f t="shared" si="0"/>
        <v>20035</v>
      </c>
      <c r="L15" s="267">
        <f>IF(AND((DATA!AA24=3)),(ROUND((TABLE!C15/10),0.1)+ROUND((TABLE!D15/10),0.1)),DATA!$S$59)</f>
        <v>900</v>
      </c>
      <c r="M15" s="267">
        <f>DATA!T59</f>
        <v>450</v>
      </c>
      <c r="N15" s="267">
        <f t="shared" si="6"/>
        <v>30</v>
      </c>
      <c r="O15" s="267">
        <f>IF(AND((DATA!AC65=1)),0,IF(AND((K15&gt;5000),(K15&lt;=6000)),60,IF(AND((K15&gt;6000),(K15&lt;=10000)),80,IF(AND((K15&gt;10000),(K15&lt;=15000)),100,IF(AND((K15&gt;15000),(K15&lt;=20000)),150,IF(AND((K15&gt;20000)),200))))))</f>
        <v>200</v>
      </c>
      <c r="P15" s="267">
        <f t="shared" si="7"/>
        <v>0</v>
      </c>
      <c r="Q15" s="267">
        <v>0</v>
      </c>
      <c r="R15" s="267">
        <f t="shared" si="1"/>
        <v>1580</v>
      </c>
      <c r="S15" s="327">
        <f t="shared" si="8"/>
        <v>18455</v>
      </c>
    </row>
    <row r="16" spans="1:19" ht="16.5" customHeight="1" hidden="1">
      <c r="A16" s="112"/>
      <c r="B16" s="271"/>
      <c r="C16" s="267"/>
      <c r="D16" s="267"/>
      <c r="E16" s="267"/>
      <c r="F16" s="267"/>
      <c r="G16" s="267"/>
      <c r="H16" s="267"/>
      <c r="I16" s="267"/>
      <c r="J16" s="268"/>
      <c r="K16" s="267"/>
      <c r="L16" s="267"/>
      <c r="M16" s="267"/>
      <c r="N16" s="267"/>
      <c r="O16" s="267"/>
      <c r="P16" s="267"/>
      <c r="Q16" s="267"/>
      <c r="R16" s="267"/>
      <c r="S16" s="327"/>
    </row>
    <row r="17" spans="1:19" ht="16.5" customHeight="1" hidden="1">
      <c r="A17" s="112"/>
      <c r="B17" s="271"/>
      <c r="C17" s="267"/>
      <c r="D17" s="267"/>
      <c r="E17" s="267"/>
      <c r="F17" s="267"/>
      <c r="G17" s="267"/>
      <c r="H17" s="267"/>
      <c r="I17" s="267"/>
      <c r="J17" s="268"/>
      <c r="K17" s="267"/>
      <c r="L17" s="267"/>
      <c r="M17" s="267"/>
      <c r="N17" s="267"/>
      <c r="O17" s="267"/>
      <c r="P17" s="267"/>
      <c r="Q17" s="267"/>
      <c r="R17" s="267"/>
      <c r="S17" s="327"/>
    </row>
    <row r="18" spans="1:19" ht="27" customHeight="1">
      <c r="A18" s="112">
        <v>13</v>
      </c>
      <c r="B18" s="314" t="str">
        <f>CONCATENATE("Sur.Leave  ",DATA!AF68)</f>
        <v>Sur.Leave  30 Days - Jan,11</v>
      </c>
      <c r="C18" s="267">
        <f>DATA!AH88</f>
        <v>14860</v>
      </c>
      <c r="D18" s="267">
        <f>DATA!AI88</f>
        <v>3689</v>
      </c>
      <c r="E18" s="267">
        <f>DATA!AJ88</f>
        <v>1486</v>
      </c>
      <c r="F18" s="267">
        <f>DATA!AK88</f>
        <v>0</v>
      </c>
      <c r="G18" s="267">
        <f>DATA!AL88</f>
        <v>0</v>
      </c>
      <c r="H18" s="267">
        <f>DATA!AM88</f>
        <v>0</v>
      </c>
      <c r="I18" s="267">
        <f>DATA!AN88</f>
        <v>0</v>
      </c>
      <c r="J18" s="267">
        <f>DATA!AP88</f>
        <v>0</v>
      </c>
      <c r="K18" s="267">
        <f t="shared" si="0"/>
        <v>20035</v>
      </c>
      <c r="L18" s="267">
        <v>0</v>
      </c>
      <c r="M18" s="267">
        <v>0</v>
      </c>
      <c r="N18" s="267">
        <v>0</v>
      </c>
      <c r="O18" s="267">
        <v>0</v>
      </c>
      <c r="P18" s="267">
        <v>0</v>
      </c>
      <c r="Q18" s="267">
        <v>0</v>
      </c>
      <c r="R18" s="267">
        <f t="shared" si="1"/>
        <v>0</v>
      </c>
      <c r="S18" s="327">
        <f t="shared" si="8"/>
        <v>20035</v>
      </c>
    </row>
    <row r="19" spans="1:19" ht="21" customHeight="1">
      <c r="A19" s="112">
        <v>14</v>
      </c>
      <c r="B19" s="269" t="s">
        <v>556</v>
      </c>
      <c r="C19" s="269">
        <f>DATA!D10+DATA!I10</f>
        <v>11389</v>
      </c>
      <c r="D19" s="267">
        <v>0</v>
      </c>
      <c r="E19" s="267">
        <v>0</v>
      </c>
      <c r="F19" s="267">
        <v>0</v>
      </c>
      <c r="G19" s="267">
        <v>0</v>
      </c>
      <c r="H19" s="267">
        <v>0</v>
      </c>
      <c r="I19" s="267">
        <v>0</v>
      </c>
      <c r="J19" s="267">
        <v>0</v>
      </c>
      <c r="K19" s="267">
        <f t="shared" si="0"/>
        <v>11389</v>
      </c>
      <c r="L19" s="270">
        <f>DATA!I10</f>
        <v>8509</v>
      </c>
      <c r="M19" s="267">
        <v>0</v>
      </c>
      <c r="N19" s="267">
        <v>0</v>
      </c>
      <c r="O19" s="267">
        <v>0</v>
      </c>
      <c r="P19" s="267">
        <v>0</v>
      </c>
      <c r="Q19" s="267">
        <v>0</v>
      </c>
      <c r="R19" s="267">
        <f t="shared" si="1"/>
        <v>8509</v>
      </c>
      <c r="S19" s="327">
        <f t="shared" si="8"/>
        <v>2880</v>
      </c>
    </row>
    <row r="20" spans="1:19" ht="18.75" customHeight="1">
      <c r="A20" s="267">
        <v>15</v>
      </c>
      <c r="B20" s="272" t="s">
        <v>370</v>
      </c>
      <c r="C20" s="269">
        <f>DATA!AU92</f>
        <v>-453</v>
      </c>
      <c r="D20" s="270">
        <f>DATA!AV92</f>
        <v>1360</v>
      </c>
      <c r="E20" s="270">
        <f>DATA!AW92</f>
        <v>627</v>
      </c>
      <c r="F20" s="270">
        <v>0</v>
      </c>
      <c r="G20" s="270">
        <v>0</v>
      </c>
      <c r="H20" s="270">
        <v>0</v>
      </c>
      <c r="I20" s="270">
        <v>0</v>
      </c>
      <c r="J20" s="270">
        <v>0</v>
      </c>
      <c r="K20" s="267">
        <f t="shared" si="0"/>
        <v>1534</v>
      </c>
      <c r="L20" s="270">
        <f>K20</f>
        <v>1534</v>
      </c>
      <c r="M20" s="267">
        <v>0</v>
      </c>
      <c r="N20" s="267">
        <v>0</v>
      </c>
      <c r="O20" s="267">
        <v>0</v>
      </c>
      <c r="P20" s="267">
        <v>0</v>
      </c>
      <c r="Q20" s="267">
        <v>0</v>
      </c>
      <c r="R20" s="267">
        <f t="shared" si="1"/>
        <v>1534</v>
      </c>
      <c r="S20" s="327">
        <f t="shared" si="8"/>
        <v>0</v>
      </c>
    </row>
    <row r="21" spans="1:19" ht="33" customHeight="1">
      <c r="A21" s="267">
        <v>16</v>
      </c>
      <c r="B21" s="272" t="s">
        <v>376</v>
      </c>
      <c r="C21" s="269">
        <v>0</v>
      </c>
      <c r="D21" s="270">
        <f>DATA!AP102</f>
        <v>6080</v>
      </c>
      <c r="E21" s="267">
        <v>0</v>
      </c>
      <c r="F21" s="267">
        <v>0</v>
      </c>
      <c r="G21" s="267">
        <v>0</v>
      </c>
      <c r="H21" s="267">
        <v>0</v>
      </c>
      <c r="I21" s="267">
        <v>0</v>
      </c>
      <c r="J21" s="267">
        <v>0</v>
      </c>
      <c r="K21" s="267">
        <f t="shared" si="0"/>
        <v>6080</v>
      </c>
      <c r="L21" s="270">
        <f>D21</f>
        <v>6080</v>
      </c>
      <c r="M21" s="267">
        <v>0</v>
      </c>
      <c r="N21" s="267">
        <v>0</v>
      </c>
      <c r="O21" s="267">
        <v>0</v>
      </c>
      <c r="P21" s="267">
        <v>0</v>
      </c>
      <c r="Q21" s="267">
        <v>0</v>
      </c>
      <c r="R21" s="267">
        <f t="shared" si="1"/>
        <v>6080</v>
      </c>
      <c r="S21" s="327">
        <f t="shared" si="8"/>
        <v>0</v>
      </c>
    </row>
    <row r="22" spans="1:19" ht="31.5" customHeight="1">
      <c r="A22" s="267">
        <v>17</v>
      </c>
      <c r="B22" s="272" t="s">
        <v>565</v>
      </c>
      <c r="C22" s="269">
        <v>0</v>
      </c>
      <c r="D22" s="270">
        <f>DATA!AP112</f>
        <v>6360</v>
      </c>
      <c r="E22" s="267">
        <v>0</v>
      </c>
      <c r="F22" s="267">
        <v>0</v>
      </c>
      <c r="G22" s="267">
        <v>0</v>
      </c>
      <c r="H22" s="267">
        <v>0</v>
      </c>
      <c r="I22" s="267">
        <v>0</v>
      </c>
      <c r="J22" s="267">
        <v>0</v>
      </c>
      <c r="K22" s="267">
        <f t="shared" si="0"/>
        <v>6360</v>
      </c>
      <c r="L22" s="270">
        <f>D22</f>
        <v>6360</v>
      </c>
      <c r="M22" s="267">
        <v>0</v>
      </c>
      <c r="N22" s="267">
        <v>0</v>
      </c>
      <c r="O22" s="267">
        <v>0</v>
      </c>
      <c r="P22" s="267">
        <v>0</v>
      </c>
      <c r="Q22" s="267">
        <v>0</v>
      </c>
      <c r="R22" s="267">
        <f t="shared" si="1"/>
        <v>6360</v>
      </c>
      <c r="S22" s="327">
        <f t="shared" si="8"/>
        <v>0</v>
      </c>
    </row>
    <row r="23" spans="1:19" ht="18.75" customHeight="1">
      <c r="A23" s="267">
        <v>19</v>
      </c>
      <c r="B23" s="272" t="str">
        <f>DATA!C130</f>
        <v>No Promotion </v>
      </c>
      <c r="C23" s="269">
        <f>DATA!F133</f>
        <v>0</v>
      </c>
      <c r="D23" s="269">
        <f>DATA!G133</f>
        <v>0</v>
      </c>
      <c r="E23" s="269">
        <f>DATA!H133</f>
        <v>0</v>
      </c>
      <c r="F23" s="267">
        <v>0</v>
      </c>
      <c r="G23" s="267">
        <v>0</v>
      </c>
      <c r="H23" s="267">
        <v>0</v>
      </c>
      <c r="I23" s="267">
        <v>0</v>
      </c>
      <c r="J23" s="267">
        <v>0</v>
      </c>
      <c r="K23" s="267">
        <f t="shared" si="0"/>
        <v>0</v>
      </c>
      <c r="L23" s="270">
        <v>0</v>
      </c>
      <c r="M23" s="267">
        <v>0</v>
      </c>
      <c r="N23" s="267">
        <v>0</v>
      </c>
      <c r="O23" s="267">
        <v>0</v>
      </c>
      <c r="P23" s="267">
        <v>0</v>
      </c>
      <c r="Q23" s="267">
        <v>0</v>
      </c>
      <c r="R23" s="267">
        <f t="shared" si="1"/>
        <v>0</v>
      </c>
      <c r="S23" s="327">
        <f t="shared" si="8"/>
        <v>0</v>
      </c>
    </row>
    <row r="24" spans="1:19" ht="30.75" customHeight="1">
      <c r="A24" s="267">
        <v>20</v>
      </c>
      <c r="B24" s="325" t="s">
        <v>301</v>
      </c>
      <c r="C24" s="269">
        <f>DATA!P9</f>
        <v>0</v>
      </c>
      <c r="D24" s="270">
        <v>0</v>
      </c>
      <c r="E24" s="267">
        <v>0</v>
      </c>
      <c r="F24" s="267">
        <v>0</v>
      </c>
      <c r="G24" s="267">
        <v>0</v>
      </c>
      <c r="H24" s="267">
        <v>0</v>
      </c>
      <c r="I24" s="267">
        <v>0</v>
      </c>
      <c r="J24" s="267">
        <v>0</v>
      </c>
      <c r="K24" s="267">
        <f t="shared" si="0"/>
        <v>0</v>
      </c>
      <c r="L24" s="270">
        <v>0</v>
      </c>
      <c r="M24" s="267">
        <v>0</v>
      </c>
      <c r="N24" s="267">
        <v>0</v>
      </c>
      <c r="O24" s="267">
        <v>0</v>
      </c>
      <c r="P24" s="267">
        <v>0</v>
      </c>
      <c r="Q24" s="267">
        <v>0</v>
      </c>
      <c r="R24" s="267">
        <f t="shared" si="1"/>
        <v>0</v>
      </c>
      <c r="S24" s="327">
        <f t="shared" si="8"/>
        <v>0</v>
      </c>
    </row>
    <row r="25" spans="1:19" ht="24" customHeight="1">
      <c r="A25" s="267">
        <v>21</v>
      </c>
      <c r="B25" s="273" t="s">
        <v>439</v>
      </c>
      <c r="C25" s="269">
        <f>DATA!O10</f>
        <v>0</v>
      </c>
      <c r="D25" s="270">
        <v>0</v>
      </c>
      <c r="E25" s="267">
        <v>0</v>
      </c>
      <c r="F25" s="267">
        <v>0</v>
      </c>
      <c r="G25" s="267">
        <v>0</v>
      </c>
      <c r="H25" s="267">
        <v>0</v>
      </c>
      <c r="I25" s="267">
        <v>0</v>
      </c>
      <c r="J25" s="267">
        <v>0</v>
      </c>
      <c r="K25" s="267">
        <f t="shared" si="0"/>
        <v>0</v>
      </c>
      <c r="L25" s="270">
        <f>K25</f>
        <v>0</v>
      </c>
      <c r="M25" s="267">
        <v>0</v>
      </c>
      <c r="N25" s="267">
        <v>0</v>
      </c>
      <c r="O25" s="267">
        <v>0</v>
      </c>
      <c r="P25" s="267">
        <v>0</v>
      </c>
      <c r="Q25" s="267">
        <v>0</v>
      </c>
      <c r="R25" s="267">
        <f t="shared" si="1"/>
        <v>0</v>
      </c>
      <c r="S25" s="327">
        <f t="shared" si="8"/>
        <v>0</v>
      </c>
    </row>
    <row r="26" spans="1:19" ht="26.25" customHeight="1">
      <c r="A26" s="426" t="s">
        <v>78</v>
      </c>
      <c r="B26" s="427"/>
      <c r="C26" s="267">
        <f aca="true" t="shared" si="9" ref="C26:S26">SUM(C4:C25)</f>
        <v>203276</v>
      </c>
      <c r="D26" s="267">
        <f t="shared" si="9"/>
        <v>46159</v>
      </c>
      <c r="E26" s="267">
        <f t="shared" si="9"/>
        <v>19861</v>
      </c>
      <c r="F26" s="267">
        <f t="shared" si="9"/>
        <v>0</v>
      </c>
      <c r="G26" s="267">
        <f t="shared" si="9"/>
        <v>0</v>
      </c>
      <c r="H26" s="267">
        <f t="shared" si="9"/>
        <v>0</v>
      </c>
      <c r="I26" s="267">
        <f t="shared" si="9"/>
        <v>0</v>
      </c>
      <c r="J26" s="267">
        <f t="shared" si="9"/>
        <v>0</v>
      </c>
      <c r="K26" s="267">
        <f t="shared" si="9"/>
        <v>269296</v>
      </c>
      <c r="L26" s="267">
        <f t="shared" si="9"/>
        <v>29683</v>
      </c>
      <c r="M26" s="267">
        <f t="shared" si="9"/>
        <v>3900</v>
      </c>
      <c r="N26" s="267">
        <f t="shared" si="9"/>
        <v>360</v>
      </c>
      <c r="O26" s="267">
        <f t="shared" si="9"/>
        <v>1950</v>
      </c>
      <c r="P26" s="267">
        <f t="shared" si="9"/>
        <v>0</v>
      </c>
      <c r="Q26" s="267">
        <f t="shared" si="9"/>
        <v>40</v>
      </c>
      <c r="R26" s="267">
        <f t="shared" si="9"/>
        <v>35933</v>
      </c>
      <c r="S26" s="267">
        <f t="shared" si="9"/>
        <v>233363</v>
      </c>
    </row>
    <row r="27" spans="1:18" ht="13.5" customHeight="1">
      <c r="A27" s="20"/>
      <c r="B27" s="20"/>
      <c r="C27" s="20"/>
      <c r="D27" s="20"/>
      <c r="E27" s="20"/>
      <c r="F27" s="20"/>
      <c r="G27" s="20"/>
      <c r="H27" s="20"/>
      <c r="I27" s="20"/>
      <c r="J27" s="20"/>
      <c r="K27" s="20"/>
      <c r="L27" s="20"/>
      <c r="M27" s="20"/>
      <c r="N27" s="20"/>
      <c r="O27" s="20"/>
      <c r="P27" s="20"/>
      <c r="Q27" s="20"/>
      <c r="R27" s="20"/>
    </row>
    <row r="28" spans="1:19" ht="25.5" customHeight="1">
      <c r="A28" s="274"/>
      <c r="B28" s="274"/>
      <c r="C28" s="274"/>
      <c r="D28" s="274"/>
      <c r="E28" s="274"/>
      <c r="F28" s="274"/>
      <c r="G28" s="274"/>
      <c r="H28" s="274"/>
      <c r="I28" s="274"/>
      <c r="J28" s="274"/>
      <c r="K28" s="274"/>
      <c r="L28" s="274"/>
      <c r="M28" s="274"/>
      <c r="N28" s="274"/>
      <c r="O28" s="274"/>
      <c r="P28" s="274"/>
      <c r="Q28" s="274"/>
      <c r="R28" s="274"/>
      <c r="S28" s="328"/>
    </row>
    <row r="29" spans="1:19" ht="13.5" customHeight="1">
      <c r="A29" s="275"/>
      <c r="B29" s="275"/>
      <c r="C29" s="276" t="s">
        <v>121</v>
      </c>
      <c r="D29" s="276"/>
      <c r="E29" s="276"/>
      <c r="F29" s="276"/>
      <c r="G29" s="276"/>
      <c r="H29" s="276"/>
      <c r="I29" s="276"/>
      <c r="J29" s="276"/>
      <c r="K29" s="276"/>
      <c r="L29" s="276"/>
      <c r="M29" s="428" t="s">
        <v>207</v>
      </c>
      <c r="N29" s="428"/>
      <c r="O29" s="428"/>
      <c r="P29" s="428"/>
      <c r="Q29" s="428"/>
      <c r="R29" s="428"/>
      <c r="S29" s="328"/>
    </row>
    <row r="30" spans="1:19" ht="13.5" customHeight="1">
      <c r="A30" s="277"/>
      <c r="B30" s="277"/>
      <c r="C30" s="277"/>
      <c r="D30" s="277"/>
      <c r="E30" s="277"/>
      <c r="F30" s="277"/>
      <c r="G30" s="277"/>
      <c r="H30" s="277"/>
      <c r="I30" s="276"/>
      <c r="J30" s="277"/>
      <c r="K30" s="277"/>
      <c r="L30" s="277"/>
      <c r="M30" s="277"/>
      <c r="N30" s="277"/>
      <c r="O30" s="277"/>
      <c r="P30" s="277"/>
      <c r="Q30" s="277"/>
      <c r="R30" s="277"/>
      <c r="S30" s="328"/>
    </row>
    <row r="31" spans="1:19" ht="13.5" customHeight="1">
      <c r="A31" s="274"/>
      <c r="B31" s="274"/>
      <c r="C31" s="274"/>
      <c r="D31" s="274"/>
      <c r="E31" s="274"/>
      <c r="F31" s="274"/>
      <c r="G31" s="274"/>
      <c r="H31" s="274"/>
      <c r="I31" s="274"/>
      <c r="J31" s="274"/>
      <c r="K31" s="274"/>
      <c r="L31" s="274"/>
      <c r="M31" s="274"/>
      <c r="N31" s="274"/>
      <c r="O31" s="274"/>
      <c r="P31" s="274"/>
      <c r="Q31" s="274"/>
      <c r="R31" s="274"/>
      <c r="S31" s="328"/>
    </row>
  </sheetData>
  <sheetProtection/>
  <mergeCells count="3">
    <mergeCell ref="A1:R1"/>
    <mergeCell ref="A26:B26"/>
    <mergeCell ref="M29:R29"/>
  </mergeCells>
  <printOptions horizontalCentered="1" verticalCentered="1"/>
  <pageMargins left="0.1968503937007874" right="0.1968503937007874" top="0.1968503937007874" bottom="0.1968503937007874"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F63"/>
  <sheetViews>
    <sheetView zoomScalePageLayoutView="0" workbookViewId="0" topLeftCell="A37">
      <selection activeCell="AH55" sqref="AH55"/>
    </sheetView>
  </sheetViews>
  <sheetFormatPr defaultColWidth="9.140625" defaultRowHeight="15" customHeight="1"/>
  <cols>
    <col min="1" max="1" width="1.421875" style="0" customWidth="1"/>
    <col min="2" max="2" width="6.00390625" style="0" customWidth="1"/>
    <col min="3" max="3" width="3.57421875" style="0" customWidth="1"/>
    <col min="4" max="4" width="4.7109375" style="0" customWidth="1"/>
    <col min="5" max="5" width="4.57421875" style="0" customWidth="1"/>
    <col min="6" max="6" width="5.28125" style="0" customWidth="1"/>
    <col min="7" max="7" width="6.421875" style="0" customWidth="1"/>
    <col min="8" max="8" width="17.7109375" style="0" customWidth="1"/>
    <col min="9" max="9" width="14.7109375" style="0" customWidth="1"/>
    <col min="10" max="10" width="3.8515625" style="0" customWidth="1"/>
    <col min="11" max="11" width="2.57421875" style="0" customWidth="1"/>
    <col min="12" max="12" width="19.8515625" style="0" customWidth="1"/>
    <col min="13" max="13" width="22.28125" style="0" customWidth="1"/>
    <col min="14" max="14" width="1.8515625" style="0" customWidth="1"/>
    <col min="15" max="32" width="9.140625" style="0" hidden="1" customWidth="1"/>
  </cols>
  <sheetData>
    <row r="1" spans="1:14" ht="15" customHeight="1">
      <c r="A1" s="1"/>
      <c r="B1" s="460" t="s">
        <v>271</v>
      </c>
      <c r="C1" s="461"/>
      <c r="D1" s="461"/>
      <c r="E1" s="461"/>
      <c r="F1" s="461"/>
      <c r="G1" s="462" t="s">
        <v>464</v>
      </c>
      <c r="H1" s="462"/>
      <c r="I1" s="462"/>
      <c r="J1" s="462"/>
      <c r="K1" s="462"/>
      <c r="L1" s="462"/>
      <c r="M1" s="114" t="s">
        <v>221</v>
      </c>
      <c r="N1" s="4"/>
    </row>
    <row r="2" spans="1:14" ht="18">
      <c r="A2" s="1"/>
      <c r="B2" s="463" t="s">
        <v>395</v>
      </c>
      <c r="C2" s="464"/>
      <c r="D2" s="464"/>
      <c r="E2" s="464"/>
      <c r="F2" s="464"/>
      <c r="G2" s="465" t="s">
        <v>281</v>
      </c>
      <c r="H2" s="465"/>
      <c r="I2" s="465"/>
      <c r="J2" s="465"/>
      <c r="K2" s="465"/>
      <c r="L2" s="465"/>
      <c r="M2" s="115" t="s">
        <v>292</v>
      </c>
      <c r="N2" s="4"/>
    </row>
    <row r="3" spans="1:14" ht="15" customHeight="1">
      <c r="A3" s="1"/>
      <c r="B3" s="466" t="s">
        <v>558</v>
      </c>
      <c r="C3" s="467"/>
      <c r="D3" s="467"/>
      <c r="E3" s="468" t="str">
        <f>DATA!D3</f>
        <v>K.LINGA REDDY</v>
      </c>
      <c r="F3" s="468"/>
      <c r="G3" s="468"/>
      <c r="H3" s="468"/>
      <c r="I3" s="469" t="s">
        <v>518</v>
      </c>
      <c r="J3" s="469"/>
      <c r="K3" s="469"/>
      <c r="L3" s="468" t="str">
        <f>DATA!C4</f>
        <v>PS KOYALAPAHAD</v>
      </c>
      <c r="M3" s="470"/>
      <c r="N3" s="4"/>
    </row>
    <row r="4" spans="1:14" ht="15" customHeight="1">
      <c r="A4" s="1"/>
      <c r="B4" s="450" t="s">
        <v>469</v>
      </c>
      <c r="C4" s="451"/>
      <c r="D4" s="451"/>
      <c r="E4" s="452" t="str">
        <f>DATA!Z4</f>
        <v>SGT, </v>
      </c>
      <c r="F4" s="452"/>
      <c r="G4" s="452"/>
      <c r="H4" s="452"/>
      <c r="I4" s="453" t="s">
        <v>209</v>
      </c>
      <c r="J4" s="453"/>
      <c r="K4" s="453"/>
      <c r="L4" s="454" t="str">
        <f>DATA!L4</f>
        <v>TRIPURARAM</v>
      </c>
      <c r="M4" s="455"/>
      <c r="N4" s="4"/>
    </row>
    <row r="5" spans="1:14" ht="15" customHeight="1">
      <c r="A5" s="1"/>
      <c r="B5" s="116">
        <v>1</v>
      </c>
      <c r="C5" s="456" t="s">
        <v>55</v>
      </c>
      <c r="D5" s="457"/>
      <c r="E5" s="457"/>
      <c r="F5" s="457"/>
      <c r="G5" s="457"/>
      <c r="H5" s="457"/>
      <c r="I5" s="457"/>
      <c r="J5" s="458"/>
      <c r="K5" s="458"/>
      <c r="L5" s="458"/>
      <c r="M5" s="459"/>
      <c r="N5" s="4"/>
    </row>
    <row r="6" spans="1:14" ht="15" customHeight="1">
      <c r="A6" s="1"/>
      <c r="B6" s="118">
        <v>2</v>
      </c>
      <c r="C6" s="447" t="s">
        <v>94</v>
      </c>
      <c r="D6" s="448"/>
      <c r="E6" s="448"/>
      <c r="F6" s="448"/>
      <c r="G6" s="448"/>
      <c r="H6" s="448"/>
      <c r="I6" s="449"/>
      <c r="J6" s="119" t="s">
        <v>494</v>
      </c>
      <c r="K6" s="120"/>
      <c r="L6" s="121"/>
      <c r="M6" s="122">
        <f>TABLE!K26</f>
        <v>269296</v>
      </c>
      <c r="N6" s="4"/>
    </row>
    <row r="7" spans="1:14" ht="15" customHeight="1">
      <c r="A7" s="1"/>
      <c r="B7" s="118">
        <v>3</v>
      </c>
      <c r="C7" s="435" t="s">
        <v>245</v>
      </c>
      <c r="D7" s="436"/>
      <c r="E7" s="436"/>
      <c r="F7" s="436"/>
      <c r="G7" s="436"/>
      <c r="H7" s="436"/>
      <c r="I7" s="445"/>
      <c r="J7" s="123"/>
      <c r="K7" s="5"/>
      <c r="L7" s="124"/>
      <c r="M7" s="125"/>
      <c r="N7" s="4"/>
    </row>
    <row r="8" spans="1:14" ht="15" customHeight="1">
      <c r="A8" s="1"/>
      <c r="B8" s="118"/>
      <c r="C8" s="126" t="s">
        <v>473</v>
      </c>
      <c r="D8" s="432" t="s">
        <v>465</v>
      </c>
      <c r="E8" s="432"/>
      <c r="F8" s="432"/>
      <c r="G8" s="432"/>
      <c r="H8" s="432"/>
      <c r="I8" s="446"/>
      <c r="J8" s="129" t="s">
        <v>494</v>
      </c>
      <c r="K8" s="130"/>
      <c r="L8" s="131">
        <f>TABLE!E26</f>
        <v>19861</v>
      </c>
      <c r="M8" s="125"/>
      <c r="N8" s="4"/>
    </row>
    <row r="9" spans="1:14" ht="15" customHeight="1">
      <c r="A9" s="1"/>
      <c r="B9" s="118"/>
      <c r="C9" s="126" t="s">
        <v>125</v>
      </c>
      <c r="D9" s="432" t="str">
        <f>DATA!O97</f>
        <v>Rent paid in excess of 10% Salary(Rent: @ 3800/-PM)</v>
      </c>
      <c r="E9" s="432"/>
      <c r="F9" s="432"/>
      <c r="G9" s="432"/>
      <c r="H9" s="432"/>
      <c r="I9" s="446"/>
      <c r="J9" s="129" t="s">
        <v>494</v>
      </c>
      <c r="K9" s="130"/>
      <c r="L9" s="131">
        <f>IF((DATA!M85=1),0,DATA!Q95)</f>
        <v>20656</v>
      </c>
      <c r="M9" s="125"/>
      <c r="N9" s="4"/>
    </row>
    <row r="10" spans="1:14" ht="15" customHeight="1">
      <c r="A10" s="1"/>
      <c r="B10" s="118"/>
      <c r="C10" s="126" t="s">
        <v>143</v>
      </c>
      <c r="D10" s="432" t="s">
        <v>382</v>
      </c>
      <c r="E10" s="432"/>
      <c r="F10" s="432"/>
      <c r="G10" s="432"/>
      <c r="H10" s="432"/>
      <c r="I10" s="446"/>
      <c r="J10" s="129" t="s">
        <v>494</v>
      </c>
      <c r="K10" s="130"/>
      <c r="L10" s="131">
        <f>ROUND(((TABLE!C26+TABLE!D26)*0.4),-2)</f>
        <v>99800</v>
      </c>
      <c r="M10" s="132">
        <f>MIN(L8:L10)</f>
        <v>19861</v>
      </c>
      <c r="N10" s="4"/>
    </row>
    <row r="11" spans="1:14" ht="15" customHeight="1">
      <c r="A11" s="1"/>
      <c r="B11" s="118">
        <v>4</v>
      </c>
      <c r="C11" s="439" t="s">
        <v>90</v>
      </c>
      <c r="D11" s="440"/>
      <c r="E11" s="440"/>
      <c r="F11" s="440"/>
      <c r="G11" s="440"/>
      <c r="H11" s="440"/>
      <c r="I11" s="442"/>
      <c r="J11" s="119" t="s">
        <v>494</v>
      </c>
      <c r="K11" s="20"/>
      <c r="L11" s="121"/>
      <c r="M11" s="133">
        <f>M6-M10</f>
        <v>249435</v>
      </c>
      <c r="N11" s="4"/>
    </row>
    <row r="12" spans="1:14" ht="15" customHeight="1">
      <c r="A12" s="1"/>
      <c r="B12" s="118">
        <v>5</v>
      </c>
      <c r="C12" s="439" t="s">
        <v>187</v>
      </c>
      <c r="D12" s="440"/>
      <c r="E12" s="440"/>
      <c r="F12" s="440"/>
      <c r="G12" s="440"/>
      <c r="H12" s="440"/>
      <c r="I12" s="442"/>
      <c r="J12" s="123"/>
      <c r="K12" s="5"/>
      <c r="L12" s="124"/>
      <c r="M12" s="125"/>
      <c r="N12" s="4"/>
    </row>
    <row r="13" spans="1:14" ht="15" customHeight="1">
      <c r="A13" s="1"/>
      <c r="B13" s="118"/>
      <c r="C13" s="126" t="s">
        <v>473</v>
      </c>
      <c r="D13" s="432" t="s">
        <v>25</v>
      </c>
      <c r="E13" s="432"/>
      <c r="F13" s="432"/>
      <c r="G13" s="432"/>
      <c r="H13" s="432"/>
      <c r="I13" s="446"/>
      <c r="J13" s="129" t="s">
        <v>494</v>
      </c>
      <c r="K13" s="130"/>
      <c r="L13" s="131">
        <f>TABLE!J26</f>
        <v>0</v>
      </c>
      <c r="M13" s="125"/>
      <c r="N13" s="4"/>
    </row>
    <row r="14" spans="1:14" ht="15" customHeight="1">
      <c r="A14" s="1"/>
      <c r="B14" s="118"/>
      <c r="C14" s="126" t="s">
        <v>125</v>
      </c>
      <c r="D14" s="432" t="s">
        <v>58</v>
      </c>
      <c r="E14" s="432"/>
      <c r="F14" s="432"/>
      <c r="G14" s="432"/>
      <c r="H14" s="432"/>
      <c r="I14" s="1"/>
      <c r="J14" s="129" t="s">
        <v>494</v>
      </c>
      <c r="K14" s="130"/>
      <c r="L14" s="131">
        <f>TABLE!O26</f>
        <v>1950</v>
      </c>
      <c r="M14" s="132">
        <f>L14+L13</f>
        <v>1950</v>
      </c>
      <c r="N14" s="4"/>
    </row>
    <row r="15" spans="1:14" ht="15.75">
      <c r="A15" s="1"/>
      <c r="B15" s="118">
        <v>6</v>
      </c>
      <c r="C15" s="439" t="s">
        <v>431</v>
      </c>
      <c r="D15" s="440"/>
      <c r="E15" s="440"/>
      <c r="F15" s="440"/>
      <c r="G15" s="440"/>
      <c r="H15" s="440"/>
      <c r="I15" s="442"/>
      <c r="J15" s="119" t="s">
        <v>494</v>
      </c>
      <c r="K15" s="20"/>
      <c r="L15" s="121"/>
      <c r="M15" s="134">
        <f>M11-M14</f>
        <v>247485</v>
      </c>
      <c r="N15" s="4"/>
    </row>
    <row r="16" spans="1:14" ht="15" customHeight="1">
      <c r="A16" s="1"/>
      <c r="B16" s="118">
        <v>7</v>
      </c>
      <c r="C16" s="438" t="s">
        <v>185</v>
      </c>
      <c r="D16" s="432"/>
      <c r="E16" s="432"/>
      <c r="F16" s="432"/>
      <c r="G16" s="432"/>
      <c r="H16" s="432"/>
      <c r="I16" s="446"/>
      <c r="J16" s="135" t="s">
        <v>494</v>
      </c>
      <c r="L16" s="136"/>
      <c r="M16" s="125">
        <f>L16</f>
        <v>0</v>
      </c>
      <c r="N16" s="4"/>
    </row>
    <row r="17" spans="1:14" ht="15" customHeight="1">
      <c r="A17" s="1"/>
      <c r="B17" s="118">
        <v>8</v>
      </c>
      <c r="C17" s="438" t="s">
        <v>451</v>
      </c>
      <c r="D17" s="432"/>
      <c r="E17" s="432"/>
      <c r="F17" s="432"/>
      <c r="G17" s="432"/>
      <c r="H17" s="432"/>
      <c r="I17" s="446"/>
      <c r="J17" s="135" t="s">
        <v>494</v>
      </c>
      <c r="L17" s="136"/>
      <c r="M17" s="125">
        <f>L17</f>
        <v>0</v>
      </c>
      <c r="N17" s="4"/>
    </row>
    <row r="18" spans="1:14" ht="15" customHeight="1">
      <c r="A18" s="1"/>
      <c r="B18" s="118">
        <v>9</v>
      </c>
      <c r="C18" s="438" t="s">
        <v>545</v>
      </c>
      <c r="D18" s="432"/>
      <c r="E18" s="432"/>
      <c r="F18" s="432"/>
      <c r="G18" s="432"/>
      <c r="H18" s="432"/>
      <c r="I18" s="446"/>
      <c r="J18" s="135" t="s">
        <v>494</v>
      </c>
      <c r="L18" s="136">
        <f>IF((DATA!M85=2),0,DATA!P15)</f>
        <v>0</v>
      </c>
      <c r="M18" s="132">
        <f>L18</f>
        <v>0</v>
      </c>
      <c r="N18" s="4"/>
    </row>
    <row r="19" spans="1:14" ht="15" customHeight="1">
      <c r="A19" s="1"/>
      <c r="B19" s="118">
        <v>10</v>
      </c>
      <c r="C19" s="439" t="s">
        <v>308</v>
      </c>
      <c r="D19" s="440"/>
      <c r="E19" s="440"/>
      <c r="F19" s="440"/>
      <c r="G19" s="440"/>
      <c r="H19" s="440"/>
      <c r="I19" s="442"/>
      <c r="J19" s="135" t="s">
        <v>494</v>
      </c>
      <c r="L19" s="136"/>
      <c r="M19" s="133">
        <f>((M15+M16)+M17)+M18</f>
        <v>247485</v>
      </c>
      <c r="N19" s="4"/>
    </row>
    <row r="20" spans="1:14" ht="15" customHeight="1">
      <c r="A20" s="1"/>
      <c r="B20" s="118">
        <v>11</v>
      </c>
      <c r="C20" s="439" t="s">
        <v>471</v>
      </c>
      <c r="D20" s="440"/>
      <c r="E20" s="440"/>
      <c r="F20" s="440"/>
      <c r="G20" s="440"/>
      <c r="H20" s="440"/>
      <c r="I20" s="442"/>
      <c r="J20" s="123"/>
      <c r="K20" s="5"/>
      <c r="L20" s="124"/>
      <c r="M20" s="125"/>
      <c r="N20" s="4"/>
    </row>
    <row r="21" spans="1:14" ht="15" customHeight="1">
      <c r="A21" s="1"/>
      <c r="B21" s="118"/>
      <c r="C21" s="126" t="s">
        <v>473</v>
      </c>
      <c r="D21" s="443" t="str">
        <f>DATA!N69</f>
        <v>Expenditure on medical treatment</v>
      </c>
      <c r="E21" s="443"/>
      <c r="F21" s="443"/>
      <c r="G21" s="443"/>
      <c r="H21" s="443"/>
      <c r="I21" s="138"/>
      <c r="J21" s="139" t="s">
        <v>494</v>
      </c>
      <c r="K21" s="140"/>
      <c r="L21" s="141">
        <f>DATA!T69</f>
        <v>0</v>
      </c>
      <c r="M21" s="125"/>
      <c r="N21" s="4"/>
    </row>
    <row r="22" spans="1:14" ht="15" customHeight="1">
      <c r="A22" s="1"/>
      <c r="B22" s="118"/>
      <c r="C22" s="126" t="s">
        <v>125</v>
      </c>
      <c r="D22" s="443" t="str">
        <f>DATA!N66</f>
        <v>Medical Insurance Premium</v>
      </c>
      <c r="E22" s="443"/>
      <c r="F22" s="443"/>
      <c r="G22" s="443"/>
      <c r="H22" s="443"/>
      <c r="I22" s="138"/>
      <c r="J22" s="139" t="s">
        <v>494</v>
      </c>
      <c r="K22" s="140"/>
      <c r="L22" s="141">
        <f>DATA!T66</f>
        <v>0</v>
      </c>
      <c r="M22" s="125"/>
      <c r="N22" s="4"/>
    </row>
    <row r="23" spans="1:14" ht="15" customHeight="1">
      <c r="A23" s="1"/>
      <c r="B23" s="118"/>
      <c r="C23" s="126" t="s">
        <v>143</v>
      </c>
      <c r="D23" s="443" t="str">
        <f>DATA!N72</f>
        <v>Donation of Charitable Institution</v>
      </c>
      <c r="E23" s="443"/>
      <c r="F23" s="443"/>
      <c r="G23" s="443"/>
      <c r="H23" s="443"/>
      <c r="I23" s="138"/>
      <c r="J23" s="139" t="s">
        <v>494</v>
      </c>
      <c r="K23" s="140"/>
      <c r="L23" s="141">
        <f>DATA!T72</f>
        <v>0</v>
      </c>
      <c r="M23" s="125"/>
      <c r="N23" s="4"/>
    </row>
    <row r="24" spans="1:14" ht="15" customHeight="1">
      <c r="A24" s="1"/>
      <c r="B24" s="118"/>
      <c r="C24" s="126" t="s">
        <v>91</v>
      </c>
      <c r="D24" s="443" t="str">
        <f>DATA!N76</f>
        <v>Interest on Educational Loan</v>
      </c>
      <c r="E24" s="443"/>
      <c r="F24" s="443"/>
      <c r="G24" s="443"/>
      <c r="H24" s="443"/>
      <c r="I24" s="138"/>
      <c r="J24" s="139" t="s">
        <v>494</v>
      </c>
      <c r="K24" s="140"/>
      <c r="L24" s="141">
        <f>DATA!T76</f>
        <v>0</v>
      </c>
      <c r="M24" s="125"/>
      <c r="N24" s="4"/>
    </row>
    <row r="25" spans="1:14" ht="15" customHeight="1">
      <c r="A25" s="1"/>
      <c r="B25" s="118"/>
      <c r="C25" s="126" t="s">
        <v>109</v>
      </c>
      <c r="D25" s="443" t="str">
        <f>DATA!N78</f>
        <v>Interest on Housing Loan Advance</v>
      </c>
      <c r="E25" s="443"/>
      <c r="F25" s="443"/>
      <c r="G25" s="443"/>
      <c r="H25" s="443"/>
      <c r="I25" s="138"/>
      <c r="J25" s="139" t="s">
        <v>494</v>
      </c>
      <c r="K25" s="140"/>
      <c r="L25" s="141">
        <f>DATA!T78</f>
        <v>0</v>
      </c>
      <c r="M25" s="125"/>
      <c r="N25" s="4"/>
    </row>
    <row r="26" spans="1:14" ht="15" customHeight="1">
      <c r="A26" s="1"/>
      <c r="B26" s="118"/>
      <c r="C26" s="126" t="s">
        <v>43</v>
      </c>
      <c r="D26" s="443" t="str">
        <f>DATA!N80</f>
        <v>Medical treatment of Handicapped/Dependent</v>
      </c>
      <c r="E26" s="443"/>
      <c r="F26" s="443"/>
      <c r="G26" s="443"/>
      <c r="H26" s="443"/>
      <c r="I26" s="1"/>
      <c r="J26" s="139" t="s">
        <v>494</v>
      </c>
      <c r="K26" s="140"/>
      <c r="L26" s="141">
        <f>DATA!T80</f>
        <v>0</v>
      </c>
      <c r="M26" s="125"/>
      <c r="N26" s="4"/>
    </row>
    <row r="27" spans="1:14" ht="15" customHeight="1">
      <c r="A27" s="1"/>
      <c r="B27" s="118"/>
      <c r="C27" s="126" t="s">
        <v>65</v>
      </c>
      <c r="D27" s="443" t="str">
        <f>DATA!N82</f>
        <v>Maintaince for disabled Person</v>
      </c>
      <c r="E27" s="443"/>
      <c r="F27" s="443"/>
      <c r="G27" s="443"/>
      <c r="H27" s="443"/>
      <c r="I27" s="1"/>
      <c r="J27" s="139" t="s">
        <v>494</v>
      </c>
      <c r="K27" s="140"/>
      <c r="L27" s="141">
        <f>DATA!T82</f>
        <v>0</v>
      </c>
      <c r="M27" s="125"/>
      <c r="N27" s="4"/>
    </row>
    <row r="28" spans="1:14" ht="15" customHeight="1">
      <c r="A28" s="1"/>
      <c r="B28" s="118"/>
      <c r="C28" s="126" t="s">
        <v>7</v>
      </c>
      <c r="D28" s="443" t="s">
        <v>247</v>
      </c>
      <c r="E28" s="443"/>
      <c r="F28" s="443"/>
      <c r="G28" s="443"/>
      <c r="H28" s="443"/>
      <c r="I28" s="444"/>
      <c r="J28" s="139" t="s">
        <v>494</v>
      </c>
      <c r="K28" s="140"/>
      <c r="L28" s="141">
        <f>TABLE!Q26</f>
        <v>40</v>
      </c>
      <c r="M28" s="125"/>
      <c r="N28" s="4"/>
    </row>
    <row r="29" spans="1:14" ht="15" customHeight="1">
      <c r="A29" s="1"/>
      <c r="B29" s="118"/>
      <c r="C29" s="435" t="s">
        <v>119</v>
      </c>
      <c r="D29" s="436"/>
      <c r="E29" s="436"/>
      <c r="F29" s="436"/>
      <c r="G29" s="436"/>
      <c r="H29" s="436"/>
      <c r="I29" s="445"/>
      <c r="J29" s="129" t="s">
        <v>494</v>
      </c>
      <c r="K29" s="130"/>
      <c r="L29" s="131">
        <f>SUM(L21:L28)</f>
        <v>40</v>
      </c>
      <c r="M29" s="132">
        <f>L29</f>
        <v>40</v>
      </c>
      <c r="N29" s="4"/>
    </row>
    <row r="30" spans="1:14" ht="15" customHeight="1">
      <c r="A30" s="1"/>
      <c r="B30" s="118">
        <v>12</v>
      </c>
      <c r="C30" s="439" t="s">
        <v>291</v>
      </c>
      <c r="D30" s="440"/>
      <c r="E30" s="440"/>
      <c r="F30" s="440"/>
      <c r="G30" s="440"/>
      <c r="H30" s="440"/>
      <c r="I30" s="442"/>
      <c r="J30" s="119" t="s">
        <v>494</v>
      </c>
      <c r="K30" s="20"/>
      <c r="L30" s="121"/>
      <c r="M30" s="133">
        <f>M19-M29</f>
        <v>247445</v>
      </c>
      <c r="N30" s="4"/>
    </row>
    <row r="31" spans="1:14" ht="15" customHeight="1">
      <c r="A31" s="1"/>
      <c r="B31" s="118">
        <v>13</v>
      </c>
      <c r="C31" s="439" t="s">
        <v>418</v>
      </c>
      <c r="D31" s="440"/>
      <c r="E31" s="440"/>
      <c r="F31" s="440"/>
      <c r="G31" s="440"/>
      <c r="H31" s="440"/>
      <c r="I31" s="442"/>
      <c r="J31" s="123"/>
      <c r="K31" s="5"/>
      <c r="L31" s="124"/>
      <c r="M31" s="125"/>
      <c r="N31" s="4"/>
    </row>
    <row r="32" spans="1:14" ht="15" customHeight="1">
      <c r="A32" s="1"/>
      <c r="B32" s="118"/>
      <c r="C32" s="126" t="s">
        <v>473</v>
      </c>
      <c r="D32" s="443" t="str">
        <f>TABLE!L3</f>
        <v>ZP GPF</v>
      </c>
      <c r="E32" s="443"/>
      <c r="F32" s="443"/>
      <c r="G32" s="143" t="s">
        <v>113</v>
      </c>
      <c r="H32" s="137" t="str">
        <f>DATA!F11</f>
        <v>……</v>
      </c>
      <c r="I32" s="138" t="s">
        <v>16</v>
      </c>
      <c r="J32" s="129" t="s">
        <v>494</v>
      </c>
      <c r="K32" s="130"/>
      <c r="L32" s="141">
        <f>TABLE!L26</f>
        <v>29683</v>
      </c>
      <c r="M32" s="125"/>
      <c r="N32" s="4"/>
    </row>
    <row r="33" spans="1:14" ht="15" customHeight="1">
      <c r="A33" s="1"/>
      <c r="B33" s="118"/>
      <c r="C33" s="126" t="s">
        <v>125</v>
      </c>
      <c r="D33" s="443" t="s">
        <v>200</v>
      </c>
      <c r="E33" s="443"/>
      <c r="G33" s="144" t="s">
        <v>419</v>
      </c>
      <c r="H33" s="104" t="str">
        <f>DATA!C13</f>
        <v>………..</v>
      </c>
      <c r="I33" s="138" t="s">
        <v>16</v>
      </c>
      <c r="J33" s="129" t="s">
        <v>494</v>
      </c>
      <c r="K33" s="130"/>
      <c r="L33" s="141">
        <f>TABLE!M26</f>
        <v>3900</v>
      </c>
      <c r="M33" s="125"/>
      <c r="N33" s="4"/>
    </row>
    <row r="34" spans="1:14" ht="15" customHeight="1">
      <c r="A34" s="1"/>
      <c r="B34" s="118"/>
      <c r="C34" s="126" t="s">
        <v>143</v>
      </c>
      <c r="D34" s="137" t="s">
        <v>110</v>
      </c>
      <c r="I34" s="1"/>
      <c r="J34" s="129" t="s">
        <v>494</v>
      </c>
      <c r="K34" s="130"/>
      <c r="L34" s="141">
        <f>TABLE!N26</f>
        <v>360</v>
      </c>
      <c r="M34" s="125"/>
      <c r="N34" s="4"/>
    </row>
    <row r="35" spans="1:14" ht="15" customHeight="1">
      <c r="A35" s="1"/>
      <c r="B35" s="118"/>
      <c r="C35" s="126" t="s">
        <v>91</v>
      </c>
      <c r="D35" s="443" t="s">
        <v>105</v>
      </c>
      <c r="E35" s="443"/>
      <c r="F35" s="443"/>
      <c r="G35" s="443"/>
      <c r="H35" s="443"/>
      <c r="I35" s="444"/>
      <c r="J35" s="129" t="s">
        <v>494</v>
      </c>
      <c r="K35" s="130"/>
      <c r="L35" s="141">
        <f>TABLE!P26</f>
        <v>0</v>
      </c>
      <c r="M35" s="125"/>
      <c r="N35" s="4"/>
    </row>
    <row r="36" spans="1:14" ht="15" customHeight="1">
      <c r="A36" s="1"/>
      <c r="B36" s="118"/>
      <c r="C36" s="126" t="s">
        <v>109</v>
      </c>
      <c r="D36" s="443" t="str">
        <f>DATA!BA13</f>
        <v>Children Tution Fee </v>
      </c>
      <c r="E36" s="443"/>
      <c r="F36" s="443"/>
      <c r="G36" s="443"/>
      <c r="H36" s="443"/>
      <c r="I36" s="444"/>
      <c r="J36" s="129" t="s">
        <v>494</v>
      </c>
      <c r="K36" s="130"/>
      <c r="L36" s="141">
        <f>DATA!E15</f>
        <v>31500</v>
      </c>
      <c r="M36" s="125"/>
      <c r="N36" s="4"/>
    </row>
    <row r="37" spans="1:14" ht="15" customHeight="1">
      <c r="A37" s="1"/>
      <c r="B37" s="118"/>
      <c r="C37" s="126" t="s">
        <v>43</v>
      </c>
      <c r="D37" s="137" t="str">
        <f>DATA!BA14</f>
        <v>Repayement of Home Loan Premium</v>
      </c>
      <c r="I37" s="1"/>
      <c r="J37" s="129" t="s">
        <v>494</v>
      </c>
      <c r="K37" s="130"/>
      <c r="L37" s="141">
        <f>DATA!E16</f>
        <v>0</v>
      </c>
      <c r="M37" s="125"/>
      <c r="N37" s="4"/>
    </row>
    <row r="38" spans="1:14" ht="15" customHeight="1">
      <c r="A38" s="1"/>
      <c r="B38" s="118"/>
      <c r="C38" s="126" t="s">
        <v>65</v>
      </c>
      <c r="D38" s="137" t="str">
        <f>DATA!BA15</f>
        <v>LIC Annual Premiums Paid by Hand</v>
      </c>
      <c r="I38" s="1"/>
      <c r="J38" s="129" t="s">
        <v>494</v>
      </c>
      <c r="K38" s="130"/>
      <c r="L38" s="141">
        <f>DATA!E17</f>
        <v>22000</v>
      </c>
      <c r="M38" s="125"/>
      <c r="N38" s="4"/>
    </row>
    <row r="39" spans="1:14" ht="15" customHeight="1">
      <c r="A39" s="1"/>
      <c r="B39" s="118"/>
      <c r="C39" s="126" t="s">
        <v>7</v>
      </c>
      <c r="D39" s="137" t="str">
        <f>DATA!BA16</f>
        <v>PLI Annual Premuim</v>
      </c>
      <c r="I39" s="1"/>
      <c r="J39" s="129" t="s">
        <v>494</v>
      </c>
      <c r="K39" s="130"/>
      <c r="L39" s="141">
        <f>DATA!E18</f>
        <v>0</v>
      </c>
      <c r="M39" s="125"/>
      <c r="N39" s="4"/>
    </row>
    <row r="40" spans="1:14" ht="15" customHeight="1">
      <c r="A40" s="1"/>
      <c r="B40" s="118"/>
      <c r="C40" s="126" t="s">
        <v>24</v>
      </c>
      <c r="D40" s="137" t="str">
        <f>DATA!BA17</f>
        <v>Infra structure Bonds under section 80CCF </v>
      </c>
      <c r="I40" s="1"/>
      <c r="J40" s="129" t="s">
        <v>494</v>
      </c>
      <c r="K40" s="130"/>
      <c r="L40" s="141">
        <f>DATA!E19</f>
        <v>0</v>
      </c>
      <c r="M40" s="125"/>
      <c r="N40" s="4"/>
    </row>
    <row r="41" spans="1:14" ht="15" customHeight="1">
      <c r="A41" s="1"/>
      <c r="B41" s="118"/>
      <c r="C41" s="126" t="s">
        <v>15</v>
      </c>
      <c r="D41" s="137" t="str">
        <f>DATA!BA18</f>
        <v>Unit Linked Insurance Plan</v>
      </c>
      <c r="I41" s="1"/>
      <c r="J41" s="129" t="s">
        <v>494</v>
      </c>
      <c r="K41" s="130"/>
      <c r="L41" s="141">
        <f>DATA!E20</f>
        <v>0</v>
      </c>
      <c r="M41" s="125"/>
      <c r="N41" s="4"/>
    </row>
    <row r="42" spans="1:14" ht="15" customHeight="1">
      <c r="A42" s="1"/>
      <c r="B42" s="118"/>
      <c r="C42" s="126" t="s">
        <v>272</v>
      </c>
      <c r="D42" s="137" t="s">
        <v>311</v>
      </c>
      <c r="F42" s="441" t="str">
        <f>DATA!B21</f>
        <v>INFRA STRUCTURE BONDS(80CCF)</v>
      </c>
      <c r="G42" s="441"/>
      <c r="H42" s="441"/>
      <c r="I42" s="142" t="s">
        <v>16</v>
      </c>
      <c r="J42" s="129" t="s">
        <v>494</v>
      </c>
      <c r="K42" s="130"/>
      <c r="L42" s="141">
        <f>DATA!E21</f>
        <v>0</v>
      </c>
      <c r="M42" s="125"/>
      <c r="N42" s="4"/>
    </row>
    <row r="43" spans="1:14" ht="15" customHeight="1">
      <c r="A43" s="1"/>
      <c r="B43" s="118"/>
      <c r="C43" s="439" t="s">
        <v>539</v>
      </c>
      <c r="D43" s="440"/>
      <c r="E43" s="440"/>
      <c r="F43" s="440"/>
      <c r="I43" s="1"/>
      <c r="J43" s="129" t="s">
        <v>494</v>
      </c>
      <c r="K43" s="130"/>
      <c r="L43" s="131">
        <f>SUM(L32:L42)</f>
        <v>87443</v>
      </c>
      <c r="M43" s="145">
        <f>IF((L43&lt;=100000),L43,100000)</f>
        <v>87443</v>
      </c>
      <c r="N43" s="4"/>
    </row>
    <row r="44" spans="1:14" ht="15" customHeight="1">
      <c r="A44" s="1"/>
      <c r="B44" s="118">
        <v>14</v>
      </c>
      <c r="C44" s="439" t="s">
        <v>309</v>
      </c>
      <c r="D44" s="440"/>
      <c r="E44" s="440"/>
      <c r="F44" s="440"/>
      <c r="G44" s="440"/>
      <c r="H44" s="440"/>
      <c r="I44" s="442"/>
      <c r="J44" s="129" t="s">
        <v>494</v>
      </c>
      <c r="K44" s="130"/>
      <c r="L44" s="131"/>
      <c r="M44" s="146">
        <f>ROUND((M30-M43),-1)</f>
        <v>160000</v>
      </c>
      <c r="N44" s="4"/>
    </row>
    <row r="45" spans="1:14" ht="15" customHeight="1">
      <c r="A45" s="1"/>
      <c r="B45" s="118">
        <v>15</v>
      </c>
      <c r="C45" s="439" t="s">
        <v>10</v>
      </c>
      <c r="D45" s="440"/>
      <c r="E45" s="440"/>
      <c r="F45" s="440"/>
      <c r="G45" s="440"/>
      <c r="H45" s="440"/>
      <c r="I45" s="1"/>
      <c r="J45" s="129"/>
      <c r="K45" s="130"/>
      <c r="L45" s="131"/>
      <c r="M45" s="147"/>
      <c r="N45" s="4"/>
    </row>
    <row r="46" spans="1:14" ht="15" customHeight="1">
      <c r="A46" s="1"/>
      <c r="B46" s="118"/>
      <c r="C46" s="126" t="s">
        <v>473</v>
      </c>
      <c r="D46" s="437" t="str">
        <f>DATA!N99</f>
        <v>Up to Rs. 1,60,000</v>
      </c>
      <c r="E46" s="437"/>
      <c r="F46" s="437"/>
      <c r="G46" s="437"/>
      <c r="H46" s="437"/>
      <c r="I46" s="1"/>
      <c r="J46" s="129" t="s">
        <v>494</v>
      </c>
      <c r="K46" s="130"/>
      <c r="L46" s="131"/>
      <c r="M46" s="149" t="s">
        <v>97</v>
      </c>
      <c r="N46" s="4"/>
    </row>
    <row r="47" spans="1:28" ht="15" customHeight="1">
      <c r="A47" s="1"/>
      <c r="B47" s="118"/>
      <c r="C47" s="126" t="s">
        <v>125</v>
      </c>
      <c r="D47" s="437" t="str">
        <f>DATA!N100</f>
        <v>Rs.1,60,001 To 5,00,000.    (@ 10%)</v>
      </c>
      <c r="E47" s="437"/>
      <c r="F47" s="437"/>
      <c r="G47" s="437"/>
      <c r="H47" s="437"/>
      <c r="I47" s="1"/>
      <c r="J47" s="129" t="s">
        <v>494</v>
      </c>
      <c r="K47" s="130"/>
      <c r="L47" s="131"/>
      <c r="M47" s="147">
        <f>AF49</f>
        <v>0</v>
      </c>
      <c r="N47" s="4"/>
      <c r="Z47" s="148">
        <f>DATA!AA18</f>
        <v>1</v>
      </c>
      <c r="AB47" s="150">
        <f>M44</f>
        <v>160000</v>
      </c>
    </row>
    <row r="48" spans="1:32" ht="15" customHeight="1">
      <c r="A48" s="1"/>
      <c r="B48" s="118"/>
      <c r="C48" s="126" t="s">
        <v>143</v>
      </c>
      <c r="D48" s="437" t="s">
        <v>161</v>
      </c>
      <c r="E48" s="437"/>
      <c r="F48" s="437"/>
      <c r="G48" s="437"/>
      <c r="H48" s="437"/>
      <c r="I48" s="1"/>
      <c r="J48" s="129" t="s">
        <v>494</v>
      </c>
      <c r="K48" s="130"/>
      <c r="L48" s="131"/>
      <c r="M48" s="147">
        <f>AF50</f>
        <v>0</v>
      </c>
      <c r="N48" s="4"/>
      <c r="AC48" s="148">
        <v>160000</v>
      </c>
      <c r="AD48" s="148">
        <v>190000</v>
      </c>
      <c r="AE48" s="148">
        <f>IF((Z46=1),AC48,AD48)</f>
        <v>190000</v>
      </c>
      <c r="AF48" s="148">
        <v>0</v>
      </c>
    </row>
    <row r="49" spans="1:32" ht="15" customHeight="1">
      <c r="A49" s="1"/>
      <c r="B49" s="118"/>
      <c r="C49" s="126" t="s">
        <v>91</v>
      </c>
      <c r="D49" s="437" t="s">
        <v>28</v>
      </c>
      <c r="E49" s="437"/>
      <c r="F49" s="437"/>
      <c r="G49" s="437"/>
      <c r="H49" s="437"/>
      <c r="I49" s="1"/>
      <c r="J49" s="129" t="s">
        <v>494</v>
      </c>
      <c r="K49" s="130"/>
      <c r="L49" s="131"/>
      <c r="M49" s="147">
        <f>AF51</f>
        <v>0</v>
      </c>
      <c r="N49" s="4"/>
      <c r="Y49" s="148" t="str">
        <f>D47</f>
        <v>Rs.1,60,001 To 5,00,000.    (@ 10%)</v>
      </c>
      <c r="AC49" s="148">
        <f>IF(AND((AB47&gt;500000)),340000,IF(AND((AB47&gt;160000),(AB47&lt;=500000)),(AB47-160000),0))</f>
        <v>0</v>
      </c>
      <c r="AD49" s="148">
        <f>IF(AND((AB47&gt;500000)),310000,IF(AND((AB47&gt;190000),(AB47&lt;=500000)),(AB47-190000),0))</f>
        <v>0</v>
      </c>
      <c r="AE49" s="148">
        <f>IF((Z47=1),AC49,AD49)</f>
        <v>0</v>
      </c>
      <c r="AF49" s="148">
        <f>ROUND((AE49*(10/100)),0.1)</f>
        <v>0</v>
      </c>
    </row>
    <row r="50" spans="1:32" ht="15" customHeight="1">
      <c r="A50" s="1"/>
      <c r="B50" s="118">
        <v>16</v>
      </c>
      <c r="C50" s="438" t="s">
        <v>229</v>
      </c>
      <c r="D50" s="432"/>
      <c r="E50" s="432"/>
      <c r="F50" s="432"/>
      <c r="G50" s="432"/>
      <c r="H50" s="432"/>
      <c r="I50" s="1"/>
      <c r="J50" s="129" t="s">
        <v>494</v>
      </c>
      <c r="K50" s="151"/>
      <c r="L50" s="131"/>
      <c r="M50" s="147">
        <f>ROUND((((M47+M48)+M49)*(1/100)),0)</f>
        <v>0</v>
      </c>
      <c r="N50" s="4"/>
      <c r="Y50" s="148" t="str">
        <f>D48</f>
        <v>Rs.5,00,001 To 8,00,000.   (@ 20%)</v>
      </c>
      <c r="AC50" s="148">
        <f>IF(AND((AB47&gt;800000)),300000,IF(AND((AB47&gt;500000),(AB47&lt;=800000)),(AB47-500000),0))</f>
        <v>0</v>
      </c>
      <c r="AD50" s="148">
        <f>AC50</f>
        <v>0</v>
      </c>
      <c r="AE50" s="148">
        <f>IF((Z48=1),AC50,AD50)</f>
        <v>0</v>
      </c>
      <c r="AF50" s="148">
        <f>ROUND((AE50*(20/100)),0.1)</f>
        <v>0</v>
      </c>
    </row>
    <row r="51" spans="1:32" ht="15" customHeight="1">
      <c r="A51" s="1"/>
      <c r="B51" s="118">
        <v>17</v>
      </c>
      <c r="C51" s="438" t="s">
        <v>289</v>
      </c>
      <c r="D51" s="432"/>
      <c r="E51" s="432"/>
      <c r="F51" s="432"/>
      <c r="G51" s="432"/>
      <c r="H51" s="432"/>
      <c r="I51" s="1"/>
      <c r="J51" s="129" t="s">
        <v>494</v>
      </c>
      <c r="K51" s="151"/>
      <c r="L51" s="131"/>
      <c r="M51" s="147">
        <f>ROUND((((M47+M48)+M49)*(2/100)),0)</f>
        <v>0</v>
      </c>
      <c r="N51" s="4"/>
      <c r="Y51" s="148" t="str">
        <f>D49</f>
        <v>above Rs.8,00,001.          (@ 30%)</v>
      </c>
      <c r="AC51" s="148">
        <f>IF(AND((AB47&gt;800000)),(AB47-800000),0)</f>
        <v>0</v>
      </c>
      <c r="AD51" s="148">
        <f>AC51</f>
        <v>0</v>
      </c>
      <c r="AE51" s="148">
        <f>IF((Z49=1),AC51,AD51)</f>
        <v>0</v>
      </c>
      <c r="AF51" s="148">
        <f>ROUND((AE51*(30/100)),0.1)</f>
        <v>0</v>
      </c>
    </row>
    <row r="52" spans="1:31" ht="15" customHeight="1">
      <c r="A52" s="1"/>
      <c r="B52" s="118">
        <v>18</v>
      </c>
      <c r="C52" s="439" t="s">
        <v>206</v>
      </c>
      <c r="D52" s="440"/>
      <c r="E52" s="440"/>
      <c r="F52" s="440"/>
      <c r="G52" s="440"/>
      <c r="H52" s="440"/>
      <c r="I52" s="1"/>
      <c r="J52" s="129" t="s">
        <v>494</v>
      </c>
      <c r="K52" s="130"/>
      <c r="L52" s="131"/>
      <c r="M52" s="147">
        <f>SUM(M47:M51)</f>
        <v>0</v>
      </c>
      <c r="N52" s="4"/>
      <c r="AC52" s="148">
        <f>SUM(AC48:AC51)</f>
        <v>160000</v>
      </c>
      <c r="AD52" s="148">
        <f>SUM(AD48:AD51)</f>
        <v>190000</v>
      </c>
      <c r="AE52" s="148">
        <f>SUM(AE48:AE51)</f>
        <v>190000</v>
      </c>
    </row>
    <row r="53" spans="1:14" ht="15" customHeight="1">
      <c r="A53" s="1"/>
      <c r="B53" s="118">
        <v>19</v>
      </c>
      <c r="C53" s="439" t="s">
        <v>2</v>
      </c>
      <c r="D53" s="440"/>
      <c r="E53" s="440"/>
      <c r="F53" s="434"/>
      <c r="G53" s="440"/>
      <c r="H53" s="440"/>
      <c r="I53" s="1"/>
      <c r="J53" s="129" t="s">
        <v>494</v>
      </c>
      <c r="K53" s="130"/>
      <c r="L53" s="131"/>
      <c r="M53" s="147"/>
      <c r="N53" s="4"/>
    </row>
    <row r="54" spans="1:14" ht="15" customHeight="1">
      <c r="A54" s="1"/>
      <c r="B54" s="118"/>
      <c r="C54" s="126" t="s">
        <v>473</v>
      </c>
      <c r="D54" s="148" t="s">
        <v>164</v>
      </c>
      <c r="E54" s="431">
        <v>40483</v>
      </c>
      <c r="F54" s="431"/>
      <c r="G54" s="152" t="s">
        <v>494</v>
      </c>
      <c r="H54" s="153">
        <f>SUM(DATA!P16:P24)</f>
        <v>0</v>
      </c>
      <c r="I54" s="1"/>
      <c r="J54" s="154"/>
      <c r="K54" s="20"/>
      <c r="L54" s="121"/>
      <c r="M54" s="155"/>
      <c r="N54" s="4"/>
    </row>
    <row r="55" spans="1:14" ht="15" customHeight="1">
      <c r="A55" s="1"/>
      <c r="B55" s="118"/>
      <c r="C55" s="126" t="s">
        <v>125</v>
      </c>
      <c r="E55" s="431">
        <v>40513</v>
      </c>
      <c r="F55" s="431"/>
      <c r="G55" s="152" t="s">
        <v>494</v>
      </c>
      <c r="H55" s="153">
        <f>DATA!P25</f>
        <v>0</v>
      </c>
      <c r="I55" s="1"/>
      <c r="J55" s="156"/>
      <c r="L55" s="136"/>
      <c r="M55" s="157"/>
      <c r="N55" s="4"/>
    </row>
    <row r="56" spans="1:14" ht="15" customHeight="1">
      <c r="A56" s="1"/>
      <c r="B56" s="118"/>
      <c r="C56" s="126" t="s">
        <v>143</v>
      </c>
      <c r="E56" s="431">
        <v>40544</v>
      </c>
      <c r="F56" s="431"/>
      <c r="G56" s="152" t="s">
        <v>494</v>
      </c>
      <c r="H56" s="153">
        <f>DATA!P26</f>
        <v>0</v>
      </c>
      <c r="I56" s="1"/>
      <c r="J56" s="156"/>
      <c r="L56" s="136"/>
      <c r="M56" s="157"/>
      <c r="N56" s="4"/>
    </row>
    <row r="57" spans="1:14" ht="15" customHeight="1">
      <c r="A57" s="1"/>
      <c r="B57" s="118"/>
      <c r="C57" s="126"/>
      <c r="D57" s="432" t="s">
        <v>140</v>
      </c>
      <c r="E57" s="432"/>
      <c r="F57" s="432"/>
      <c r="G57" s="432"/>
      <c r="H57" s="158">
        <f>SUM(H54:H56)</f>
        <v>0</v>
      </c>
      <c r="I57" s="1"/>
      <c r="J57" s="156"/>
      <c r="L57" s="136"/>
      <c r="M57" s="157"/>
      <c r="N57" s="4"/>
    </row>
    <row r="58" spans="1:14" ht="15.75">
      <c r="A58" s="1"/>
      <c r="B58" s="159">
        <v>20</v>
      </c>
      <c r="C58" s="433" t="s">
        <v>435</v>
      </c>
      <c r="D58" s="434"/>
      <c r="E58" s="434"/>
      <c r="F58" s="434"/>
      <c r="G58" s="434"/>
      <c r="H58" s="434"/>
      <c r="I58" s="160"/>
      <c r="J58" s="123" t="s">
        <v>494</v>
      </c>
      <c r="K58" s="161"/>
      <c r="L58" s="162"/>
      <c r="M58" s="163">
        <f>M52-H57</f>
        <v>0</v>
      </c>
      <c r="N58" s="4"/>
    </row>
    <row r="59" spans="1:14" ht="15" customHeight="1">
      <c r="A59" s="1"/>
      <c r="B59" s="164"/>
      <c r="C59" s="20"/>
      <c r="D59" s="20"/>
      <c r="E59" s="20"/>
      <c r="F59" s="20"/>
      <c r="G59" s="20"/>
      <c r="H59" s="20"/>
      <c r="I59" s="20"/>
      <c r="J59" s="20"/>
      <c r="K59" s="20"/>
      <c r="L59" s="20"/>
      <c r="M59" s="165"/>
      <c r="N59" s="4"/>
    </row>
    <row r="60" spans="1:14" ht="15" customHeight="1">
      <c r="A60" s="1"/>
      <c r="B60" s="166"/>
      <c r="M60" s="167"/>
      <c r="N60" s="4"/>
    </row>
    <row r="61" spans="1:14" ht="15" customHeight="1">
      <c r="A61" s="1"/>
      <c r="B61" s="435" t="s">
        <v>183</v>
      </c>
      <c r="C61" s="436"/>
      <c r="D61" s="436"/>
      <c r="E61" s="436"/>
      <c r="F61" s="436"/>
      <c r="G61" s="436"/>
      <c r="H61" s="436"/>
      <c r="J61" s="429" t="s">
        <v>169</v>
      </c>
      <c r="K61" s="429"/>
      <c r="L61" s="429"/>
      <c r="M61" s="430"/>
      <c r="N61" s="4"/>
    </row>
    <row r="62" spans="1:14" ht="15" customHeight="1">
      <c r="A62" s="1"/>
      <c r="B62" s="168" t="s">
        <v>314</v>
      </c>
      <c r="M62" s="167"/>
      <c r="N62" s="4"/>
    </row>
    <row r="63" spans="2:13" ht="15" customHeight="1">
      <c r="B63" s="170"/>
      <c r="C63" s="20"/>
      <c r="D63" s="20"/>
      <c r="E63" s="20"/>
      <c r="F63" s="20"/>
      <c r="G63" s="20"/>
      <c r="H63" s="20"/>
      <c r="I63" s="20"/>
      <c r="J63" s="20"/>
      <c r="K63" s="20"/>
      <c r="L63" s="20"/>
      <c r="M63" s="20"/>
    </row>
  </sheetData>
  <sheetProtection/>
  <mergeCells count="63">
    <mergeCell ref="B1:F1"/>
    <mergeCell ref="G1:L1"/>
    <mergeCell ref="B2:F2"/>
    <mergeCell ref="G2:L2"/>
    <mergeCell ref="B3:D3"/>
    <mergeCell ref="E3:H3"/>
    <mergeCell ref="I3:K3"/>
    <mergeCell ref="L3:M3"/>
    <mergeCell ref="B4:D4"/>
    <mergeCell ref="E4:H4"/>
    <mergeCell ref="I4:K4"/>
    <mergeCell ref="L4:M4"/>
    <mergeCell ref="C5:I5"/>
    <mergeCell ref="J5:M5"/>
    <mergeCell ref="C6:I6"/>
    <mergeCell ref="C7:I7"/>
    <mergeCell ref="D8:I8"/>
    <mergeCell ref="D9:I9"/>
    <mergeCell ref="D10:I10"/>
    <mergeCell ref="C11:I11"/>
    <mergeCell ref="C12:I12"/>
    <mergeCell ref="D13:I13"/>
    <mergeCell ref="D14:H14"/>
    <mergeCell ref="C15:I15"/>
    <mergeCell ref="C16:I16"/>
    <mergeCell ref="C17:I17"/>
    <mergeCell ref="C18:I18"/>
    <mergeCell ref="C19:I19"/>
    <mergeCell ref="C20:I20"/>
    <mergeCell ref="D21:H21"/>
    <mergeCell ref="D22:H22"/>
    <mergeCell ref="D23:H23"/>
    <mergeCell ref="D24:H24"/>
    <mergeCell ref="D25:H25"/>
    <mergeCell ref="D26:H26"/>
    <mergeCell ref="D27:H27"/>
    <mergeCell ref="D28:I28"/>
    <mergeCell ref="C29:I29"/>
    <mergeCell ref="C30:I30"/>
    <mergeCell ref="C31:I31"/>
    <mergeCell ref="D32:F32"/>
    <mergeCell ref="D33:E33"/>
    <mergeCell ref="D35:I35"/>
    <mergeCell ref="D36:I36"/>
    <mergeCell ref="F42:H42"/>
    <mergeCell ref="C43:F43"/>
    <mergeCell ref="C44:I44"/>
    <mergeCell ref="C45:H45"/>
    <mergeCell ref="D46:H46"/>
    <mergeCell ref="D47:H47"/>
    <mergeCell ref="D48:H48"/>
    <mergeCell ref="D49:H49"/>
    <mergeCell ref="C50:H50"/>
    <mergeCell ref="C51:H51"/>
    <mergeCell ref="C52:H52"/>
    <mergeCell ref="C53:H53"/>
    <mergeCell ref="J61:M61"/>
    <mergeCell ref="E54:F54"/>
    <mergeCell ref="E55:F55"/>
    <mergeCell ref="E56:F56"/>
    <mergeCell ref="D57:G57"/>
    <mergeCell ref="C58:H58"/>
    <mergeCell ref="B61:H61"/>
  </mergeCells>
  <printOptions horizontalCentered="1"/>
  <pageMargins left="0.1968503937007874" right="0.1968503937007874" top="0.15748031496062992" bottom="0.11811023622047245" header="0.5118110236220472" footer="0.5118110236220472"/>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AD63"/>
  <sheetViews>
    <sheetView zoomScalePageLayoutView="0" workbookViewId="0" topLeftCell="A46">
      <selection activeCell="U59" sqref="U59"/>
    </sheetView>
  </sheetViews>
  <sheetFormatPr defaultColWidth="9.140625" defaultRowHeight="13.5" customHeight="1"/>
  <cols>
    <col min="1" max="1" width="1.421875" style="0" customWidth="1"/>
    <col min="2" max="2" width="4.28125" style="0" customWidth="1"/>
    <col min="3" max="3" width="3.00390625" style="0" customWidth="1"/>
    <col min="4" max="4" width="18.28125" style="0" customWidth="1"/>
    <col min="5" max="5" width="15.00390625" style="0" customWidth="1"/>
    <col min="6" max="6" width="2.8515625" style="0" customWidth="1"/>
    <col min="7" max="7" width="16.00390625" style="0" customWidth="1"/>
    <col min="8" max="8" width="0.71875" style="0" customWidth="1"/>
    <col min="9" max="9" width="2.8515625" style="0" customWidth="1"/>
    <col min="10" max="10" width="15.57421875" style="0" customWidth="1"/>
    <col min="11" max="11" width="2.8515625" style="0" customWidth="1"/>
    <col min="12" max="12" width="10.00390625" style="0" customWidth="1"/>
    <col min="13" max="13" width="2.8515625" style="0" customWidth="1"/>
    <col min="14" max="14" width="10.7109375" style="0" customWidth="1"/>
    <col min="15" max="15" width="5.8515625" style="0" customWidth="1"/>
    <col min="16" max="20" width="10.7109375" style="0" hidden="1" customWidth="1"/>
    <col min="21" max="21" width="19.00390625" style="0" customWidth="1"/>
    <col min="22" max="22" width="13.28125" style="0" customWidth="1"/>
    <col min="23" max="23" width="10.28125" style="0" customWidth="1"/>
    <col min="24" max="24" width="9.00390625" style="0" customWidth="1"/>
    <col min="25" max="28" width="9.140625" style="0" customWidth="1"/>
    <col min="29" max="29" width="36.28125" style="0" customWidth="1"/>
    <col min="30" max="30" width="9.140625" style="0" customWidth="1"/>
  </cols>
  <sheetData>
    <row r="1" spans="1:15" ht="32.25" customHeight="1">
      <c r="A1" s="1"/>
      <c r="B1" s="531" t="s">
        <v>547</v>
      </c>
      <c r="C1" s="532"/>
      <c r="D1" s="532"/>
      <c r="E1" s="532"/>
      <c r="F1" s="532"/>
      <c r="G1" s="532"/>
      <c r="H1" s="532"/>
      <c r="I1" s="532"/>
      <c r="J1" s="532"/>
      <c r="K1" s="532"/>
      <c r="L1" s="532"/>
      <c r="M1" s="532"/>
      <c r="N1" s="533"/>
      <c r="O1" s="4"/>
    </row>
    <row r="2" spans="1:15" ht="12.75">
      <c r="A2" s="1"/>
      <c r="B2" s="534" t="s">
        <v>181</v>
      </c>
      <c r="C2" s="535"/>
      <c r="D2" s="535"/>
      <c r="E2" s="535"/>
      <c r="F2" s="535"/>
      <c r="G2" s="535"/>
      <c r="H2" s="535"/>
      <c r="I2" s="535"/>
      <c r="J2" s="535"/>
      <c r="K2" s="535"/>
      <c r="L2" s="535"/>
      <c r="M2" s="535"/>
      <c r="N2" s="536"/>
      <c r="O2" s="4"/>
    </row>
    <row r="3" spans="1:15" ht="4.5" customHeight="1">
      <c r="A3" s="1"/>
      <c r="B3" s="537"/>
      <c r="C3" s="538"/>
      <c r="D3" s="538"/>
      <c r="E3" s="538"/>
      <c r="F3" s="538"/>
      <c r="G3" s="538"/>
      <c r="H3" s="538"/>
      <c r="I3" s="538"/>
      <c r="J3" s="538"/>
      <c r="K3" s="538"/>
      <c r="L3" s="538"/>
      <c r="M3" s="538"/>
      <c r="N3" s="539"/>
      <c r="O3" s="4"/>
    </row>
    <row r="4" spans="1:15" ht="13.5" customHeight="1">
      <c r="A4" s="1"/>
      <c r="B4" s="540" t="s">
        <v>393</v>
      </c>
      <c r="C4" s="541"/>
      <c r="D4" s="541"/>
      <c r="E4" s="541"/>
      <c r="F4" s="541"/>
      <c r="G4" s="541"/>
      <c r="H4" s="542"/>
      <c r="I4" s="540" t="s">
        <v>166</v>
      </c>
      <c r="J4" s="541"/>
      <c r="K4" s="541"/>
      <c r="L4" s="541"/>
      <c r="M4" s="541"/>
      <c r="N4" s="542"/>
      <c r="O4" s="4"/>
    </row>
    <row r="5" spans="1:15" ht="3.75" customHeight="1">
      <c r="A5" s="1"/>
      <c r="B5" s="171"/>
      <c r="C5" s="20"/>
      <c r="D5" s="20"/>
      <c r="E5" s="20"/>
      <c r="F5" s="20"/>
      <c r="G5" s="20"/>
      <c r="H5" s="172"/>
      <c r="I5" s="171"/>
      <c r="J5" s="20"/>
      <c r="K5" s="20"/>
      <c r="L5" s="20"/>
      <c r="M5" s="20"/>
      <c r="N5" s="173"/>
      <c r="O5" s="4"/>
    </row>
    <row r="6" spans="1:15" ht="13.5" customHeight="1">
      <c r="A6" s="1"/>
      <c r="B6" s="525" t="str">
        <f>DATA!C23</f>
        <v>P.NARAYANA</v>
      </c>
      <c r="C6" s="526"/>
      <c r="D6" s="526"/>
      <c r="E6" s="526"/>
      <c r="F6" s="526"/>
      <c r="G6" s="526"/>
      <c r="H6" s="527"/>
      <c r="I6" s="435" t="str">
        <f>STATEMENT!E3</f>
        <v>K.LINGA REDDY</v>
      </c>
      <c r="J6" s="436"/>
      <c r="K6" s="436"/>
      <c r="L6" s="436"/>
      <c r="M6" s="436"/>
      <c r="N6" s="445"/>
      <c r="O6" s="4"/>
    </row>
    <row r="7" spans="1:15" ht="13.5" customHeight="1">
      <c r="A7" s="1"/>
      <c r="B7" s="525" t="str">
        <f>DATA!G23</f>
        <v>MEO</v>
      </c>
      <c r="C7" s="526"/>
      <c r="D7" s="526"/>
      <c r="E7" s="526"/>
      <c r="F7" s="526"/>
      <c r="G7" s="526"/>
      <c r="H7" s="527"/>
      <c r="I7" s="435" t="str">
        <f>STATEMENT!E4</f>
        <v>SGT, </v>
      </c>
      <c r="J7" s="436"/>
      <c r="K7" s="436"/>
      <c r="L7" s="436"/>
      <c r="M7" s="436"/>
      <c r="N7" s="445"/>
      <c r="O7" s="4"/>
    </row>
    <row r="8" spans="1:15" ht="13.5" customHeight="1">
      <c r="A8" s="1"/>
      <c r="B8" s="528" t="str">
        <f>CONCATENATE("Mandal: ",DATA!L4)</f>
        <v>Mandal: TRIPURARAM</v>
      </c>
      <c r="C8" s="529"/>
      <c r="D8" s="529"/>
      <c r="E8" s="529"/>
      <c r="F8" s="529"/>
      <c r="G8" s="529"/>
      <c r="H8" s="530"/>
      <c r="I8" s="435" t="str">
        <f>STATEMENT!L3</f>
        <v>PS KOYALAPAHAD</v>
      </c>
      <c r="J8" s="436"/>
      <c r="K8" s="436"/>
      <c r="L8" s="436"/>
      <c r="M8" s="436"/>
      <c r="N8" s="445"/>
      <c r="O8" s="4"/>
    </row>
    <row r="9" spans="1:15" ht="13.5" customHeight="1">
      <c r="A9" s="1"/>
      <c r="B9" s="528"/>
      <c r="C9" s="529"/>
      <c r="D9" s="529"/>
      <c r="E9" s="529"/>
      <c r="F9" s="529"/>
      <c r="G9" s="529"/>
      <c r="H9" s="530"/>
      <c r="I9" s="435" t="str">
        <f>STATEMENT!L4</f>
        <v>TRIPURARAM</v>
      </c>
      <c r="J9" s="436"/>
      <c r="K9" s="436"/>
      <c r="L9" s="436"/>
      <c r="M9" s="436"/>
      <c r="N9" s="445"/>
      <c r="O9" s="4"/>
    </row>
    <row r="10" spans="1:15" ht="13.5" customHeight="1">
      <c r="A10" s="1"/>
      <c r="B10" s="519" t="s">
        <v>194</v>
      </c>
      <c r="C10" s="520"/>
      <c r="D10" s="521"/>
      <c r="E10" s="519" t="str">
        <f>DATA!L11</f>
        <v>…….</v>
      </c>
      <c r="F10" s="520"/>
      <c r="G10" s="521"/>
      <c r="H10" s="174"/>
      <c r="I10" s="522" t="s">
        <v>107</v>
      </c>
      <c r="J10" s="523"/>
      <c r="K10" s="524"/>
      <c r="L10" s="519" t="str">
        <f>DATA!L11</f>
        <v>…….</v>
      </c>
      <c r="M10" s="520"/>
      <c r="N10" s="521"/>
      <c r="O10" s="4"/>
    </row>
    <row r="11" spans="1:15" ht="13.5" customHeight="1">
      <c r="A11" s="1"/>
      <c r="B11" s="512" t="s">
        <v>141</v>
      </c>
      <c r="C11" s="513"/>
      <c r="D11" s="513"/>
      <c r="E11" s="513"/>
      <c r="F11" s="513"/>
      <c r="G11" s="513"/>
      <c r="H11" s="513"/>
      <c r="I11" s="513"/>
      <c r="J11" s="513"/>
      <c r="K11" s="513"/>
      <c r="L11" s="513"/>
      <c r="M11" s="513"/>
      <c r="N11" s="514"/>
      <c r="O11" s="4"/>
    </row>
    <row r="12" spans="1:15" ht="13.5" customHeight="1">
      <c r="A12" s="1"/>
      <c r="B12" s="508" t="s">
        <v>412</v>
      </c>
      <c r="C12" s="508"/>
      <c r="D12" s="508"/>
      <c r="E12" s="508" t="s">
        <v>529</v>
      </c>
      <c r="F12" s="508"/>
      <c r="G12" s="508"/>
      <c r="H12" s="508"/>
      <c r="I12" s="508" t="s">
        <v>32</v>
      </c>
      <c r="J12" s="508"/>
      <c r="K12" s="508"/>
      <c r="L12" s="508"/>
      <c r="M12" s="515" t="s">
        <v>507</v>
      </c>
      <c r="N12" s="516"/>
      <c r="O12" s="4"/>
    </row>
    <row r="13" spans="1:15" ht="13.5" customHeight="1">
      <c r="A13" s="1"/>
      <c r="B13" s="508">
        <v>1</v>
      </c>
      <c r="C13" s="508"/>
      <c r="D13" s="508"/>
      <c r="E13" s="508"/>
      <c r="F13" s="508"/>
      <c r="G13" s="508"/>
      <c r="H13" s="508"/>
      <c r="I13" s="508" t="s">
        <v>350</v>
      </c>
      <c r="J13" s="508"/>
      <c r="K13" s="508" t="s">
        <v>323</v>
      </c>
      <c r="L13" s="508"/>
      <c r="M13" s="517" t="s">
        <v>408</v>
      </c>
      <c r="N13" s="518"/>
      <c r="O13" s="4"/>
    </row>
    <row r="14" spans="1:15" ht="12.75">
      <c r="A14" s="1"/>
      <c r="B14" s="508">
        <v>2</v>
      </c>
      <c r="C14" s="508"/>
      <c r="D14" s="508"/>
      <c r="E14" s="508"/>
      <c r="F14" s="508"/>
      <c r="G14" s="508"/>
      <c r="H14" s="508"/>
      <c r="I14" s="509" t="s">
        <v>428</v>
      </c>
      <c r="J14" s="510"/>
      <c r="K14" s="509" t="s">
        <v>327</v>
      </c>
      <c r="L14" s="510"/>
      <c r="M14" s="511" t="s">
        <v>292</v>
      </c>
      <c r="N14" s="510"/>
      <c r="O14" s="4"/>
    </row>
    <row r="15" spans="1:15" ht="15.75">
      <c r="A15" s="1"/>
      <c r="B15" s="505" t="s">
        <v>124</v>
      </c>
      <c r="C15" s="506"/>
      <c r="D15" s="506"/>
      <c r="E15" s="506"/>
      <c r="F15" s="506"/>
      <c r="G15" s="506"/>
      <c r="H15" s="506"/>
      <c r="I15" s="506"/>
      <c r="J15" s="506"/>
      <c r="K15" s="506"/>
      <c r="L15" s="506"/>
      <c r="M15" s="506"/>
      <c r="N15" s="507"/>
      <c r="O15" s="4"/>
    </row>
    <row r="16" spans="1:15" ht="4.5" customHeight="1">
      <c r="A16" s="1"/>
      <c r="B16" s="502"/>
      <c r="C16" s="503"/>
      <c r="D16" s="503"/>
      <c r="E16" s="503"/>
      <c r="F16" s="503"/>
      <c r="G16" s="503"/>
      <c r="H16" s="503"/>
      <c r="I16" s="503"/>
      <c r="J16" s="503"/>
      <c r="K16" s="503"/>
      <c r="L16" s="503"/>
      <c r="M16" s="503"/>
      <c r="N16" s="504"/>
      <c r="O16" s="4"/>
    </row>
    <row r="17" spans="1:15" ht="15">
      <c r="A17" s="1"/>
      <c r="B17" s="175">
        <v>1</v>
      </c>
      <c r="C17" s="499" t="s">
        <v>511</v>
      </c>
      <c r="D17" s="500"/>
      <c r="H17" s="1"/>
      <c r="I17" s="178" t="s">
        <v>494</v>
      </c>
      <c r="J17" s="179">
        <f>STATEMENT!M6</f>
        <v>269296</v>
      </c>
      <c r="K17" s="4"/>
      <c r="L17" s="180"/>
      <c r="M17" s="4"/>
      <c r="N17" s="181"/>
      <c r="O17" s="4"/>
    </row>
    <row r="18" spans="1:15" ht="15">
      <c r="A18" s="1"/>
      <c r="B18" s="175"/>
      <c r="C18" s="182" t="s">
        <v>473</v>
      </c>
      <c r="D18" s="497" t="s">
        <v>427</v>
      </c>
      <c r="E18" s="497"/>
      <c r="F18" s="497"/>
      <c r="G18" s="497"/>
      <c r="H18" s="498"/>
      <c r="I18" s="185" t="s">
        <v>494</v>
      </c>
      <c r="J18" s="186">
        <v>0</v>
      </c>
      <c r="K18" s="4"/>
      <c r="L18" s="180"/>
      <c r="M18" s="4"/>
      <c r="N18" s="181"/>
      <c r="O18" s="4"/>
    </row>
    <row r="19" spans="1:15" ht="15">
      <c r="A19" s="1"/>
      <c r="B19" s="175"/>
      <c r="C19" s="182" t="s">
        <v>125</v>
      </c>
      <c r="D19" s="497" t="s">
        <v>287</v>
      </c>
      <c r="E19" s="497"/>
      <c r="F19" s="497"/>
      <c r="G19" s="497"/>
      <c r="H19" s="498"/>
      <c r="I19" s="185" t="s">
        <v>494</v>
      </c>
      <c r="J19" s="186">
        <v>0</v>
      </c>
      <c r="K19" s="4"/>
      <c r="L19" s="180"/>
      <c r="M19" s="4"/>
      <c r="N19" s="181"/>
      <c r="O19" s="4"/>
    </row>
    <row r="20" spans="1:15" ht="15">
      <c r="A20" s="1"/>
      <c r="B20" s="175"/>
      <c r="C20" s="182"/>
      <c r="D20" s="497" t="s">
        <v>48</v>
      </c>
      <c r="E20" s="497"/>
      <c r="F20" s="497"/>
      <c r="G20" s="497"/>
      <c r="H20" s="498"/>
      <c r="I20" s="187"/>
      <c r="J20" s="188"/>
      <c r="K20" s="4"/>
      <c r="L20" s="180"/>
      <c r="M20" s="4"/>
      <c r="N20" s="181"/>
      <c r="O20" s="4"/>
    </row>
    <row r="21" spans="1:30" ht="15">
      <c r="A21" s="1"/>
      <c r="B21" s="175"/>
      <c r="C21" s="182" t="s">
        <v>143</v>
      </c>
      <c r="D21" s="497" t="s">
        <v>235</v>
      </c>
      <c r="E21" s="497"/>
      <c r="F21" s="497"/>
      <c r="G21" s="497"/>
      <c r="H21" s="498"/>
      <c r="I21" s="178" t="s">
        <v>494</v>
      </c>
      <c r="J21" s="179">
        <v>0</v>
      </c>
      <c r="K21" s="4"/>
      <c r="L21" s="180"/>
      <c r="M21" s="4"/>
      <c r="N21" s="181"/>
      <c r="O21" s="4"/>
      <c r="AC21" s="189" t="s">
        <v>426</v>
      </c>
      <c r="AD21" s="190">
        <v>100000</v>
      </c>
    </row>
    <row r="22" spans="1:30" ht="15">
      <c r="A22" s="1"/>
      <c r="B22" s="175"/>
      <c r="C22" s="182"/>
      <c r="D22" s="497" t="s">
        <v>138</v>
      </c>
      <c r="E22" s="497"/>
      <c r="F22" s="497"/>
      <c r="G22" s="497"/>
      <c r="H22" s="498"/>
      <c r="I22" s="185"/>
      <c r="J22" s="186"/>
      <c r="K22" s="4"/>
      <c r="L22" s="180"/>
      <c r="M22" s="4"/>
      <c r="N22" s="181"/>
      <c r="O22" s="4"/>
      <c r="AC22" s="189" t="s">
        <v>298</v>
      </c>
      <c r="AD22" s="190">
        <v>100000</v>
      </c>
    </row>
    <row r="23" spans="1:30" ht="15">
      <c r="A23" s="1"/>
      <c r="B23" s="175"/>
      <c r="C23" s="182" t="s">
        <v>91</v>
      </c>
      <c r="D23" s="191" t="s">
        <v>505</v>
      </c>
      <c r="H23" s="1"/>
      <c r="I23" s="187" t="s">
        <v>494</v>
      </c>
      <c r="J23" s="188">
        <f>((J17+J18)+J19)+J21</f>
        <v>269296</v>
      </c>
      <c r="K23" s="4"/>
      <c r="L23" s="180"/>
      <c r="M23" s="192" t="s">
        <v>494</v>
      </c>
      <c r="N23" s="193">
        <f>J23</f>
        <v>269296</v>
      </c>
      <c r="O23" s="4"/>
      <c r="AC23" s="189" t="s">
        <v>144</v>
      </c>
      <c r="AD23" s="190">
        <v>100000</v>
      </c>
    </row>
    <row r="24" spans="1:30" ht="15">
      <c r="A24" s="1"/>
      <c r="B24" s="175">
        <v>2</v>
      </c>
      <c r="C24" s="496" t="s">
        <v>416</v>
      </c>
      <c r="D24" s="497"/>
      <c r="E24" s="497"/>
      <c r="F24" s="497"/>
      <c r="G24" s="497"/>
      <c r="H24" s="498"/>
      <c r="I24" s="178"/>
      <c r="J24" s="108"/>
      <c r="K24" s="192"/>
      <c r="L24" s="180"/>
      <c r="M24" s="4"/>
      <c r="N24" s="181"/>
      <c r="O24" s="4"/>
      <c r="AC24" s="189" t="s">
        <v>177</v>
      </c>
      <c r="AD24" s="190">
        <v>100000</v>
      </c>
    </row>
    <row r="25" spans="1:30" ht="15">
      <c r="A25" s="1"/>
      <c r="B25" s="175"/>
      <c r="C25" s="182" t="s">
        <v>473</v>
      </c>
      <c r="D25" s="183" t="s">
        <v>357</v>
      </c>
      <c r="H25" s="184"/>
      <c r="I25" s="185" t="s">
        <v>494</v>
      </c>
      <c r="J25" s="186">
        <f>STATEMENT!M10</f>
        <v>19861</v>
      </c>
      <c r="K25" s="192"/>
      <c r="L25" s="180"/>
      <c r="M25" s="4"/>
      <c r="N25" s="181"/>
      <c r="O25" s="4"/>
      <c r="AC25" s="189" t="s">
        <v>305</v>
      </c>
      <c r="AD25" s="190">
        <v>100000</v>
      </c>
    </row>
    <row r="26" spans="1:30" ht="15">
      <c r="A26" s="1"/>
      <c r="B26" s="175"/>
      <c r="C26" s="182" t="s">
        <v>125</v>
      </c>
      <c r="D26" s="497" t="s">
        <v>317</v>
      </c>
      <c r="E26" s="497"/>
      <c r="H26" s="184"/>
      <c r="I26" s="185" t="s">
        <v>494</v>
      </c>
      <c r="J26" s="186">
        <f>STATEMENT!L13</f>
        <v>0</v>
      </c>
      <c r="K26" s="192"/>
      <c r="L26" s="180"/>
      <c r="M26" s="194" t="s">
        <v>494</v>
      </c>
      <c r="N26" s="179">
        <f>J25+J26</f>
        <v>19861</v>
      </c>
      <c r="O26" s="4"/>
      <c r="AC26" s="189" t="s">
        <v>21</v>
      </c>
      <c r="AD26" s="190">
        <v>100000</v>
      </c>
    </row>
    <row r="27" spans="1:30" ht="15">
      <c r="A27" s="1"/>
      <c r="B27" s="175">
        <v>3</v>
      </c>
      <c r="C27" s="499" t="s">
        <v>461</v>
      </c>
      <c r="D27" s="500"/>
      <c r="E27" s="500"/>
      <c r="F27" s="500"/>
      <c r="G27" s="500"/>
      <c r="H27" s="501"/>
      <c r="I27" s="111"/>
      <c r="J27" s="172"/>
      <c r="K27" s="192"/>
      <c r="L27" s="180"/>
      <c r="M27" s="195" t="s">
        <v>494</v>
      </c>
      <c r="N27" s="196">
        <f>N23-N26</f>
        <v>249435</v>
      </c>
      <c r="O27" s="4"/>
      <c r="AC27" s="189" t="s">
        <v>101</v>
      </c>
      <c r="AD27" s="190">
        <v>100000</v>
      </c>
    </row>
    <row r="28" spans="1:30" ht="15">
      <c r="A28" s="1"/>
      <c r="B28" s="175">
        <v>4</v>
      </c>
      <c r="C28" s="499" t="s">
        <v>471</v>
      </c>
      <c r="D28" s="500"/>
      <c r="E28" s="500"/>
      <c r="F28" s="500"/>
      <c r="G28" s="500"/>
      <c r="H28" s="501"/>
      <c r="I28" s="107"/>
      <c r="J28" s="108"/>
      <c r="K28" s="192"/>
      <c r="L28" s="180"/>
      <c r="M28" s="4"/>
      <c r="N28" s="181"/>
      <c r="O28" s="4"/>
      <c r="AC28" s="189" t="s">
        <v>130</v>
      </c>
      <c r="AD28" s="190">
        <v>100000</v>
      </c>
    </row>
    <row r="29" spans="1:30" ht="10.5" customHeight="1">
      <c r="A29" s="1"/>
      <c r="B29" s="175"/>
      <c r="C29" s="182" t="s">
        <v>473</v>
      </c>
      <c r="D29" s="183" t="s">
        <v>129</v>
      </c>
      <c r="H29" s="197"/>
      <c r="I29" s="185" t="s">
        <v>494</v>
      </c>
      <c r="J29" s="186">
        <v>0</v>
      </c>
      <c r="K29" s="192"/>
      <c r="L29" s="180"/>
      <c r="M29" s="4"/>
      <c r="N29" s="181"/>
      <c r="O29" s="4"/>
      <c r="AC29" s="189" t="s">
        <v>391</v>
      </c>
      <c r="AD29" s="190">
        <v>100000</v>
      </c>
    </row>
    <row r="30" spans="1:30" ht="12.75" customHeight="1">
      <c r="A30" s="1"/>
      <c r="B30" s="175"/>
      <c r="C30" s="182" t="s">
        <v>125</v>
      </c>
      <c r="D30" s="183" t="s">
        <v>246</v>
      </c>
      <c r="H30" s="197"/>
      <c r="I30" s="185" t="s">
        <v>494</v>
      </c>
      <c r="J30" s="186">
        <f>STATEMENT!L14</f>
        <v>1950</v>
      </c>
      <c r="K30" s="192"/>
      <c r="L30" s="180"/>
      <c r="M30" s="4"/>
      <c r="N30" s="181"/>
      <c r="O30" s="4"/>
      <c r="AC30" s="189" t="s">
        <v>484</v>
      </c>
      <c r="AD30" s="190">
        <v>100000</v>
      </c>
    </row>
    <row r="31" spans="1:30" ht="15">
      <c r="A31" s="1"/>
      <c r="B31" s="175">
        <v>5</v>
      </c>
      <c r="C31" s="499" t="s">
        <v>477</v>
      </c>
      <c r="D31" s="500"/>
      <c r="E31" s="500"/>
      <c r="F31" s="500"/>
      <c r="G31" s="500"/>
      <c r="H31" s="501"/>
      <c r="I31" s="187"/>
      <c r="J31" s="188"/>
      <c r="K31" s="4"/>
      <c r="L31" s="180"/>
      <c r="M31" s="194" t="s">
        <v>494</v>
      </c>
      <c r="N31" s="179">
        <f>J29+J30</f>
        <v>1950</v>
      </c>
      <c r="O31" s="4"/>
      <c r="AC31" s="189" t="s">
        <v>455</v>
      </c>
      <c r="AD31" s="190">
        <v>100000</v>
      </c>
    </row>
    <row r="32" spans="1:30" ht="15">
      <c r="A32" s="1"/>
      <c r="B32" s="175">
        <v>6</v>
      </c>
      <c r="C32" s="496" t="s">
        <v>452</v>
      </c>
      <c r="D32" s="497"/>
      <c r="E32" s="497"/>
      <c r="F32" s="497"/>
      <c r="G32" s="497"/>
      <c r="H32" s="498"/>
      <c r="I32" s="198"/>
      <c r="J32" s="181"/>
      <c r="K32" s="4"/>
      <c r="L32" s="180"/>
      <c r="M32" s="199" t="s">
        <v>494</v>
      </c>
      <c r="N32" s="141">
        <f>N27-N31</f>
        <v>247485</v>
      </c>
      <c r="O32" s="4"/>
      <c r="AC32" s="189" t="s">
        <v>257</v>
      </c>
      <c r="AD32" s="190">
        <v>10000</v>
      </c>
    </row>
    <row r="33" spans="1:15" ht="15">
      <c r="A33" s="1"/>
      <c r="B33" s="175">
        <v>7</v>
      </c>
      <c r="C33" s="496" t="s">
        <v>555</v>
      </c>
      <c r="D33" s="497"/>
      <c r="E33" s="497"/>
      <c r="F33" s="497"/>
      <c r="G33" s="497"/>
      <c r="H33" s="498"/>
      <c r="I33" s="198"/>
      <c r="J33" s="181"/>
      <c r="K33" s="4"/>
      <c r="L33" s="180"/>
      <c r="M33" s="199" t="s">
        <v>494</v>
      </c>
      <c r="N33" s="186">
        <v>0</v>
      </c>
      <c r="O33" s="4"/>
    </row>
    <row r="34" spans="1:15" ht="15">
      <c r="A34" s="1"/>
      <c r="B34" s="175"/>
      <c r="C34" s="496" t="s">
        <v>282</v>
      </c>
      <c r="D34" s="497"/>
      <c r="E34" s="497"/>
      <c r="F34" s="497"/>
      <c r="G34" s="497"/>
      <c r="H34" s="498"/>
      <c r="I34" s="198"/>
      <c r="J34" s="181"/>
      <c r="K34" s="4"/>
      <c r="L34" s="180"/>
      <c r="M34" s="199" t="s">
        <v>494</v>
      </c>
      <c r="N34" s="186">
        <v>0</v>
      </c>
      <c r="O34" s="4"/>
    </row>
    <row r="35" spans="1:15" ht="15">
      <c r="A35" s="1"/>
      <c r="B35" s="175"/>
      <c r="C35" s="496" t="s">
        <v>478</v>
      </c>
      <c r="D35" s="497"/>
      <c r="E35" s="497"/>
      <c r="F35" s="497"/>
      <c r="G35" s="497"/>
      <c r="H35" s="498"/>
      <c r="I35" s="198"/>
      <c r="J35" s="181"/>
      <c r="K35" s="4"/>
      <c r="L35" s="180"/>
      <c r="M35" s="199" t="s">
        <v>494</v>
      </c>
      <c r="N35" s="186">
        <v>0</v>
      </c>
      <c r="O35" s="4"/>
    </row>
    <row r="36" spans="1:15" ht="15">
      <c r="A36" s="1"/>
      <c r="B36" s="175">
        <v>8</v>
      </c>
      <c r="C36" s="499" t="s">
        <v>100</v>
      </c>
      <c r="D36" s="500"/>
      <c r="E36" s="500"/>
      <c r="H36" s="1"/>
      <c r="I36" s="198"/>
      <c r="J36" s="181"/>
      <c r="K36" s="4"/>
      <c r="L36" s="180"/>
      <c r="M36" s="195" t="s">
        <v>494</v>
      </c>
      <c r="N36" s="196">
        <f>((N32+N33)+N34)-N35</f>
        <v>247485</v>
      </c>
      <c r="O36" s="4"/>
    </row>
    <row r="37" spans="1:15" ht="15">
      <c r="A37" s="1"/>
      <c r="B37" s="175">
        <v>9</v>
      </c>
      <c r="C37" s="499" t="s">
        <v>466</v>
      </c>
      <c r="D37" s="500"/>
      <c r="E37" s="500"/>
      <c r="F37" s="500"/>
      <c r="G37" s="500"/>
      <c r="H37" s="1"/>
      <c r="I37" s="198"/>
      <c r="J37" s="200"/>
      <c r="K37" s="4"/>
      <c r="L37" s="180"/>
      <c r="M37" s="4"/>
      <c r="N37" s="181"/>
      <c r="O37" s="4"/>
    </row>
    <row r="38" spans="1:15" ht="15">
      <c r="A38" s="1"/>
      <c r="B38" s="201" t="s">
        <v>88</v>
      </c>
      <c r="C38" s="489" t="s">
        <v>573</v>
      </c>
      <c r="D38" s="490"/>
      <c r="E38" s="490"/>
      <c r="G38" s="202" t="s">
        <v>499</v>
      </c>
      <c r="H38" s="1"/>
      <c r="I38" s="491" t="s">
        <v>98</v>
      </c>
      <c r="J38" s="492"/>
      <c r="K38" s="491" t="s">
        <v>156</v>
      </c>
      <c r="L38" s="492"/>
      <c r="M38" s="4"/>
      <c r="N38" s="181"/>
      <c r="O38" s="4"/>
    </row>
    <row r="39" spans="1:15" ht="15">
      <c r="A39" s="1"/>
      <c r="B39" s="175"/>
      <c r="C39" s="176" t="s">
        <v>473</v>
      </c>
      <c r="D39" s="177" t="s">
        <v>139</v>
      </c>
      <c r="F39" s="5"/>
      <c r="G39" s="113" t="s">
        <v>99</v>
      </c>
      <c r="H39" s="108"/>
      <c r="I39" s="203"/>
      <c r="J39" s="204" t="s">
        <v>99</v>
      </c>
      <c r="K39" s="107"/>
      <c r="L39" s="204" t="s">
        <v>99</v>
      </c>
      <c r="M39" s="4"/>
      <c r="N39" s="181"/>
      <c r="O39" s="4"/>
    </row>
    <row r="40" spans="1:26" ht="15">
      <c r="A40" s="1"/>
      <c r="B40" s="175"/>
      <c r="C40" s="205" t="s">
        <v>62</v>
      </c>
      <c r="D40" s="206" t="s">
        <v>444</v>
      </c>
      <c r="F40" s="207" t="s">
        <v>494</v>
      </c>
      <c r="G40" s="208">
        <f>IF((DATA!AA24=3),0,TABLE!L26)</f>
        <v>29683</v>
      </c>
      <c r="H40" s="209"/>
      <c r="I40" s="199" t="s">
        <v>494</v>
      </c>
      <c r="J40" s="186">
        <f aca="true" t="shared" si="0" ref="J40:J49">IF((G40&lt;=Z40),G40,IF((G40&gt;=Z40),Z40))</f>
        <v>29683</v>
      </c>
      <c r="K40" s="199" t="s">
        <v>494</v>
      </c>
      <c r="L40" s="186">
        <f aca="true" t="shared" si="1" ref="L40:L50">J40</f>
        <v>29683</v>
      </c>
      <c r="M40" s="4"/>
      <c r="N40" s="181"/>
      <c r="O40" s="4"/>
      <c r="Z40" s="190">
        <v>100000</v>
      </c>
    </row>
    <row r="41" spans="1:26" ht="15">
      <c r="A41" s="1"/>
      <c r="B41" s="175"/>
      <c r="C41" s="205" t="s">
        <v>279</v>
      </c>
      <c r="D41" s="206" t="s">
        <v>37</v>
      </c>
      <c r="F41" s="207" t="s">
        <v>494</v>
      </c>
      <c r="G41" s="208">
        <f>STATEMENT!L33</f>
        <v>3900</v>
      </c>
      <c r="H41" s="209"/>
      <c r="I41" s="199" t="s">
        <v>494</v>
      </c>
      <c r="J41" s="186">
        <f t="shared" si="0"/>
        <v>3900</v>
      </c>
      <c r="K41" s="199" t="s">
        <v>494</v>
      </c>
      <c r="L41" s="186">
        <f t="shared" si="1"/>
        <v>3900</v>
      </c>
      <c r="M41" s="4"/>
      <c r="N41" s="181"/>
      <c r="O41" s="4"/>
      <c r="Z41" s="190">
        <v>100000</v>
      </c>
    </row>
    <row r="42" spans="1:26" ht="15">
      <c r="A42" s="1"/>
      <c r="B42" s="175"/>
      <c r="C42" s="205" t="s">
        <v>158</v>
      </c>
      <c r="D42" s="206" t="s">
        <v>114</v>
      </c>
      <c r="F42" s="207" t="s">
        <v>494</v>
      </c>
      <c r="G42" s="208">
        <f>STATEMENT!L34</f>
        <v>360</v>
      </c>
      <c r="H42" s="209"/>
      <c r="I42" s="199" t="s">
        <v>494</v>
      </c>
      <c r="J42" s="186">
        <f t="shared" si="0"/>
        <v>360</v>
      </c>
      <c r="K42" s="199" t="s">
        <v>494</v>
      </c>
      <c r="L42" s="186">
        <f t="shared" si="1"/>
        <v>360</v>
      </c>
      <c r="M42" s="4"/>
      <c r="N42" s="181"/>
      <c r="O42" s="4"/>
      <c r="Z42" s="190">
        <v>100000</v>
      </c>
    </row>
    <row r="43" spans="1:26" ht="15">
      <c r="A43" s="1"/>
      <c r="B43" s="175"/>
      <c r="C43" s="205" t="s">
        <v>277</v>
      </c>
      <c r="D43" s="471" t="s">
        <v>532</v>
      </c>
      <c r="E43" s="471"/>
      <c r="F43" s="207" t="s">
        <v>494</v>
      </c>
      <c r="G43" s="208">
        <f>STATEMENT!L35</f>
        <v>0</v>
      </c>
      <c r="H43" s="209"/>
      <c r="I43" s="199" t="s">
        <v>494</v>
      </c>
      <c r="J43" s="186">
        <f t="shared" si="0"/>
        <v>0</v>
      </c>
      <c r="K43" s="199" t="s">
        <v>494</v>
      </c>
      <c r="L43" s="186">
        <f t="shared" si="1"/>
        <v>0</v>
      </c>
      <c r="M43" s="4"/>
      <c r="N43" s="181"/>
      <c r="O43" s="4"/>
      <c r="Z43" s="190">
        <v>100000</v>
      </c>
    </row>
    <row r="44" spans="1:26" ht="15">
      <c r="A44" s="1"/>
      <c r="B44" s="175"/>
      <c r="C44" s="205" t="s">
        <v>64</v>
      </c>
      <c r="D44" s="471" t="str">
        <f>STATEMENT!D36:I36</f>
        <v>Children Tution Fee </v>
      </c>
      <c r="E44" s="471"/>
      <c r="F44" s="207" t="s">
        <v>494</v>
      </c>
      <c r="G44" s="208">
        <f>STATEMENT!L36</f>
        <v>31500</v>
      </c>
      <c r="H44" s="209"/>
      <c r="I44" s="199" t="s">
        <v>494</v>
      </c>
      <c r="J44" s="186">
        <f t="shared" si="0"/>
        <v>31500</v>
      </c>
      <c r="K44" s="199" t="s">
        <v>494</v>
      </c>
      <c r="L44" s="186">
        <f t="shared" si="1"/>
        <v>31500</v>
      </c>
      <c r="M44" s="4"/>
      <c r="N44" s="181"/>
      <c r="O44" s="4"/>
      <c r="Z44" s="190">
        <v>100000</v>
      </c>
    </row>
    <row r="45" spans="1:26" ht="15">
      <c r="A45" s="1"/>
      <c r="B45" s="175"/>
      <c r="C45" s="205" t="s">
        <v>336</v>
      </c>
      <c r="D45" s="206" t="str">
        <f>STATEMENT!D37:I37</f>
        <v>Repayement of Home Loan Premium</v>
      </c>
      <c r="F45" s="207" t="s">
        <v>494</v>
      </c>
      <c r="G45" s="208">
        <f>STATEMENT!L37</f>
        <v>0</v>
      </c>
      <c r="H45" s="209"/>
      <c r="I45" s="199" t="s">
        <v>494</v>
      </c>
      <c r="J45" s="186">
        <f t="shared" si="0"/>
        <v>0</v>
      </c>
      <c r="K45" s="199" t="s">
        <v>494</v>
      </c>
      <c r="L45" s="186">
        <f t="shared" si="1"/>
        <v>0</v>
      </c>
      <c r="M45" s="4"/>
      <c r="N45" s="181"/>
      <c r="O45" s="4"/>
      <c r="Z45" s="190">
        <v>100000</v>
      </c>
    </row>
    <row r="46" spans="1:26" ht="15">
      <c r="A46" s="1"/>
      <c r="B46" s="175"/>
      <c r="C46" s="205" t="s">
        <v>446</v>
      </c>
      <c r="D46" s="206" t="str">
        <f>STATEMENT!D38:I38</f>
        <v>LIC Annual Premiums Paid by Hand</v>
      </c>
      <c r="F46" s="207" t="s">
        <v>494</v>
      </c>
      <c r="G46" s="208">
        <f>STATEMENT!L38</f>
        <v>22000</v>
      </c>
      <c r="H46" s="209"/>
      <c r="I46" s="199" t="s">
        <v>494</v>
      </c>
      <c r="J46" s="186">
        <f t="shared" si="0"/>
        <v>22000</v>
      </c>
      <c r="K46" s="199" t="s">
        <v>494</v>
      </c>
      <c r="L46" s="186">
        <f t="shared" si="1"/>
        <v>22000</v>
      </c>
      <c r="M46" s="4"/>
      <c r="N46" s="181"/>
      <c r="O46" s="4"/>
      <c r="Z46" s="190">
        <v>100000</v>
      </c>
    </row>
    <row r="47" spans="1:26" ht="15">
      <c r="A47" s="1"/>
      <c r="B47" s="175"/>
      <c r="C47" s="205" t="s">
        <v>239</v>
      </c>
      <c r="D47" s="206" t="str">
        <f>STATEMENT!D39:I39</f>
        <v>PLI Annual Premuim</v>
      </c>
      <c r="F47" s="207" t="s">
        <v>494</v>
      </c>
      <c r="G47" s="208">
        <f>STATEMENT!L39</f>
        <v>0</v>
      </c>
      <c r="H47" s="209"/>
      <c r="I47" s="199" t="s">
        <v>494</v>
      </c>
      <c r="J47" s="186">
        <f t="shared" si="0"/>
        <v>0</v>
      </c>
      <c r="K47" s="199" t="s">
        <v>494</v>
      </c>
      <c r="L47" s="186">
        <f t="shared" si="1"/>
        <v>0</v>
      </c>
      <c r="M47" s="192"/>
      <c r="N47" s="181"/>
      <c r="O47" s="4"/>
      <c r="Z47" s="190">
        <v>100000</v>
      </c>
    </row>
    <row r="48" spans="1:26" ht="15">
      <c r="A48" s="1"/>
      <c r="B48" s="175"/>
      <c r="C48" s="205" t="s">
        <v>278</v>
      </c>
      <c r="D48" s="206" t="str">
        <f>STATEMENT!D40:I40</f>
        <v>Infra structure Bonds under section 80CCF </v>
      </c>
      <c r="F48" s="210" t="s">
        <v>494</v>
      </c>
      <c r="G48" s="208">
        <f>STATEMENT!L40</f>
        <v>0</v>
      </c>
      <c r="H48" s="209"/>
      <c r="I48" s="195" t="s">
        <v>494</v>
      </c>
      <c r="J48" s="188">
        <f t="shared" si="0"/>
        <v>0</v>
      </c>
      <c r="K48" s="195" t="s">
        <v>494</v>
      </c>
      <c r="L48" s="188">
        <f t="shared" si="1"/>
        <v>0</v>
      </c>
      <c r="M48" s="192"/>
      <c r="N48" s="181"/>
      <c r="O48" s="4"/>
      <c r="Z48" s="190">
        <v>100000</v>
      </c>
    </row>
    <row r="49" spans="1:26" ht="15">
      <c r="A49" s="1"/>
      <c r="B49" s="175"/>
      <c r="C49" s="205" t="s">
        <v>72</v>
      </c>
      <c r="D49" s="206" t="str">
        <f>STATEMENT!D41:I41</f>
        <v>Unit Linked Insurance Plan</v>
      </c>
      <c r="F49" s="206" t="s">
        <v>494</v>
      </c>
      <c r="G49" s="208">
        <f>STATEMENT!L41</f>
        <v>0</v>
      </c>
      <c r="H49" s="209"/>
      <c r="I49" s="192" t="s">
        <v>494</v>
      </c>
      <c r="J49" s="181">
        <f t="shared" si="0"/>
        <v>0</v>
      </c>
      <c r="K49" s="192" t="s">
        <v>494</v>
      </c>
      <c r="L49" s="181">
        <f t="shared" si="1"/>
        <v>0</v>
      </c>
      <c r="M49" s="192"/>
      <c r="N49" s="181"/>
      <c r="O49" s="4"/>
      <c r="Y49" s="211">
        <f>(((((((((G40+G41)+G42)+G43)+G44)+G45)+G46)+G47)+G48)+G49)+G50</f>
        <v>87443</v>
      </c>
      <c r="Z49" s="190">
        <v>20000</v>
      </c>
    </row>
    <row r="50" spans="1:15" ht="15">
      <c r="A50" s="1"/>
      <c r="B50" s="175"/>
      <c r="C50" s="205" t="s">
        <v>295</v>
      </c>
      <c r="D50" s="206" t="str">
        <f>CONCATENATE(STATEMENT!D42,STATEMENT!F42,STATEMENT!I42)</f>
        <v>Others       (INFRA STRUCTURE BONDS(80CCF))</v>
      </c>
      <c r="F50" s="206" t="s">
        <v>494</v>
      </c>
      <c r="G50" s="208">
        <f>STATEMENT!L42</f>
        <v>0</v>
      </c>
      <c r="H50" s="172"/>
      <c r="I50" s="192" t="s">
        <v>494</v>
      </c>
      <c r="J50" s="181">
        <f>G50</f>
        <v>0</v>
      </c>
      <c r="K50" s="192" t="s">
        <v>494</v>
      </c>
      <c r="L50" s="212">
        <f t="shared" si="1"/>
        <v>0</v>
      </c>
      <c r="N50" s="181"/>
      <c r="O50" s="4"/>
    </row>
    <row r="51" spans="1:26" ht="15">
      <c r="A51" s="1"/>
      <c r="B51" s="175"/>
      <c r="C51" s="192"/>
      <c r="G51" s="20"/>
      <c r="H51" s="1"/>
      <c r="I51" s="493" t="s">
        <v>397</v>
      </c>
      <c r="J51" s="494"/>
      <c r="K51" s="494"/>
      <c r="L51" s="495"/>
      <c r="M51" s="213" t="s">
        <v>494</v>
      </c>
      <c r="N51" s="193">
        <f>IF((Z51&lt;=Y51),Z51,IF((Z51&gt;=Y51),Y51))</f>
        <v>87443</v>
      </c>
      <c r="O51" s="4"/>
      <c r="Y51" s="211">
        <v>100000</v>
      </c>
      <c r="Z51" s="214">
        <f>SUM(L40:L50)</f>
        <v>87443</v>
      </c>
    </row>
    <row r="52" spans="1:15" ht="15">
      <c r="A52" s="1"/>
      <c r="B52" s="175"/>
      <c r="C52" s="215" t="s">
        <v>125</v>
      </c>
      <c r="D52" s="216" t="s">
        <v>562</v>
      </c>
      <c r="F52" s="5"/>
      <c r="G52" s="5"/>
      <c r="H52" s="108"/>
      <c r="I52" s="194"/>
      <c r="J52" s="217"/>
      <c r="K52" s="107"/>
      <c r="L52" s="217"/>
      <c r="M52" s="107"/>
      <c r="N52" s="179"/>
      <c r="O52" s="4"/>
    </row>
    <row r="53" spans="1:28" ht="15">
      <c r="A53" s="1"/>
      <c r="B53" s="175"/>
      <c r="C53" s="218" t="s">
        <v>62</v>
      </c>
      <c r="D53" s="471" t="s">
        <v>257</v>
      </c>
      <c r="E53" s="471"/>
      <c r="F53" s="207" t="s">
        <v>494</v>
      </c>
      <c r="G53" s="208"/>
      <c r="H53" s="209"/>
      <c r="I53" s="199" t="s">
        <v>494</v>
      </c>
      <c r="J53" s="186">
        <f>IF((G53&lt;=Z53),G53,IF((G53&gt;=Z53),Z53))</f>
        <v>0</v>
      </c>
      <c r="K53" s="199" t="s">
        <v>494</v>
      </c>
      <c r="L53" s="186">
        <f>IF((G53&lt;=Z53),G53,IF((G53&gt;=Z53),Z53))</f>
        <v>0</v>
      </c>
      <c r="M53" s="219" t="s">
        <v>494</v>
      </c>
      <c r="N53" s="141">
        <f>L53</f>
        <v>0</v>
      </c>
      <c r="O53" s="4"/>
      <c r="Z53" s="190">
        <v>10000</v>
      </c>
      <c r="AB53" s="150">
        <f>(N51+N53)+N55</f>
        <v>87443</v>
      </c>
    </row>
    <row r="54" spans="1:15" ht="15">
      <c r="A54" s="1"/>
      <c r="B54" s="175"/>
      <c r="C54" s="215" t="s">
        <v>143</v>
      </c>
      <c r="D54" s="216" t="s">
        <v>563</v>
      </c>
      <c r="F54" s="42"/>
      <c r="G54" s="42"/>
      <c r="H54" s="41"/>
      <c r="I54" s="199"/>
      <c r="J54" s="186"/>
      <c r="K54" s="40"/>
      <c r="L54" s="186"/>
      <c r="M54" s="40"/>
      <c r="N54" s="186"/>
      <c r="O54" s="4"/>
    </row>
    <row r="55" spans="1:26" ht="15">
      <c r="A55" s="1"/>
      <c r="B55" s="175"/>
      <c r="C55" s="218" t="s">
        <v>62</v>
      </c>
      <c r="D55" s="471" t="s">
        <v>127</v>
      </c>
      <c r="E55" s="471"/>
      <c r="F55" s="207" t="s">
        <v>494</v>
      </c>
      <c r="G55" s="208">
        <f>IF((DATA!AA24=3),TABLE!L26,0)</f>
        <v>0</v>
      </c>
      <c r="H55" s="209"/>
      <c r="I55" s="199" t="s">
        <v>494</v>
      </c>
      <c r="J55" s="186">
        <f>IF((G55&lt;=Z55),G55,IF((G55&gt;=Z55),Z55))</f>
        <v>0</v>
      </c>
      <c r="K55" s="199" t="s">
        <v>494</v>
      </c>
      <c r="L55" s="186">
        <f>IF((G55&lt;Z55),G55,IF((G55&gt;Z55),Z55))</f>
        <v>0</v>
      </c>
      <c r="M55" s="219" t="s">
        <v>494</v>
      </c>
      <c r="N55" s="141">
        <f>L55</f>
        <v>0</v>
      </c>
      <c r="O55" s="4"/>
      <c r="Z55" s="190">
        <v>100000</v>
      </c>
    </row>
    <row r="56" spans="1:28" ht="15">
      <c r="A56" s="1"/>
      <c r="B56" s="175"/>
      <c r="C56" s="472" t="s">
        <v>367</v>
      </c>
      <c r="D56" s="473"/>
      <c r="E56" s="473"/>
      <c r="F56" s="473"/>
      <c r="G56" s="473"/>
      <c r="H56" s="473"/>
      <c r="I56" s="473"/>
      <c r="J56" s="473"/>
      <c r="K56" s="473"/>
      <c r="L56" s="474"/>
      <c r="M56" s="220" t="s">
        <v>494</v>
      </c>
      <c r="N56" s="121">
        <f>AB61+L49</f>
        <v>87443</v>
      </c>
      <c r="O56" s="4"/>
      <c r="Y56" s="148">
        <f>(Z51+N53)+N55</f>
        <v>87443</v>
      </c>
      <c r="Z56" s="148">
        <v>100000</v>
      </c>
      <c r="AB56" s="221">
        <f>IF((AB53&lt;Y51),AB53,AB54)</f>
        <v>87443</v>
      </c>
    </row>
    <row r="57" spans="1:28" ht="15">
      <c r="A57" s="1"/>
      <c r="B57" s="175"/>
      <c r="C57" s="215" t="s">
        <v>91</v>
      </c>
      <c r="D57" s="216" t="s">
        <v>570</v>
      </c>
      <c r="E57" s="216"/>
      <c r="F57" s="216"/>
      <c r="G57" s="216"/>
      <c r="H57" s="216"/>
      <c r="I57" s="216"/>
      <c r="J57" s="216"/>
      <c r="K57" s="216"/>
      <c r="L57" s="298"/>
      <c r="M57" s="213"/>
      <c r="N57" s="136"/>
      <c r="O57" s="4"/>
      <c r="Y57" s="148"/>
      <c r="Z57" s="148"/>
      <c r="AB57" s="221"/>
    </row>
    <row r="58" spans="1:15" ht="25.5" customHeight="1">
      <c r="A58" s="1"/>
      <c r="B58" s="222"/>
      <c r="C58" s="223"/>
      <c r="D58" s="483" t="s">
        <v>571</v>
      </c>
      <c r="E58" s="484"/>
      <c r="F58" s="484"/>
      <c r="G58" s="484"/>
      <c r="H58" s="484"/>
      <c r="I58" s="484"/>
      <c r="J58" s="484"/>
      <c r="K58" s="484"/>
      <c r="L58" s="485"/>
      <c r="M58" s="178"/>
      <c r="N58" s="224">
        <f>DATA!E21</f>
        <v>0</v>
      </c>
      <c r="O58" s="4"/>
    </row>
    <row r="59" spans="1:15" ht="15">
      <c r="A59" s="1"/>
      <c r="B59" s="176"/>
      <c r="C59" s="486" t="s">
        <v>572</v>
      </c>
      <c r="D59" s="487"/>
      <c r="E59" s="487"/>
      <c r="F59" s="487"/>
      <c r="G59" s="487"/>
      <c r="H59" s="487"/>
      <c r="I59" s="487"/>
      <c r="J59" s="487"/>
      <c r="K59" s="487"/>
      <c r="L59" s="488"/>
      <c r="M59" s="220" t="s">
        <v>494</v>
      </c>
      <c r="N59" s="317">
        <f>AB63</f>
        <v>87443</v>
      </c>
      <c r="O59" s="4"/>
    </row>
    <row r="60" spans="1:15" ht="10.5" customHeight="1">
      <c r="A60" s="1"/>
      <c r="B60" s="475" t="s">
        <v>373</v>
      </c>
      <c r="C60" s="476"/>
      <c r="D60" s="477" t="s">
        <v>54</v>
      </c>
      <c r="E60" s="477"/>
      <c r="F60" s="477"/>
      <c r="G60" s="477"/>
      <c r="H60" s="477"/>
      <c r="I60" s="477"/>
      <c r="J60" s="477"/>
      <c r="K60" s="477"/>
      <c r="L60" s="477"/>
      <c r="M60" s="477"/>
      <c r="N60" s="478"/>
      <c r="O60" s="4"/>
    </row>
    <row r="61" spans="1:28" ht="10.5" customHeight="1">
      <c r="A61" s="1"/>
      <c r="B61" s="479"/>
      <c r="C61" s="480"/>
      <c r="D61" s="481" t="s">
        <v>324</v>
      </c>
      <c r="E61" s="481"/>
      <c r="F61" s="481"/>
      <c r="G61" s="481"/>
      <c r="H61" s="481"/>
      <c r="I61" s="481"/>
      <c r="J61" s="481"/>
      <c r="K61" s="481"/>
      <c r="L61" s="481"/>
      <c r="M61" s="481"/>
      <c r="N61" s="482"/>
      <c r="O61" s="4"/>
      <c r="AB61" s="214">
        <f>IF((Y56&lt;Z56),Y56,IF((Y56&gt;Z56),Z56))</f>
        <v>87443</v>
      </c>
    </row>
    <row r="62" spans="2:14" ht="14.25">
      <c r="B62" s="225"/>
      <c r="C62" s="20"/>
      <c r="D62" s="20"/>
      <c r="E62" s="20"/>
      <c r="F62" s="20"/>
      <c r="G62" s="20"/>
      <c r="H62" s="20"/>
      <c r="I62" s="20"/>
      <c r="J62" s="20"/>
      <c r="K62" s="20"/>
      <c r="L62" s="20"/>
      <c r="M62" s="20"/>
      <c r="N62" s="20"/>
    </row>
    <row r="63" spans="25:28" ht="13.5" customHeight="1">
      <c r="Y63" s="318">
        <f>N56+N58</f>
        <v>87443</v>
      </c>
      <c r="Z63">
        <v>120000</v>
      </c>
      <c r="AB63">
        <f>IF((Y63&lt;Z63),Y63,IF((Y63&gt;Z63),Z63))</f>
        <v>87443</v>
      </c>
    </row>
  </sheetData>
  <sheetProtection/>
  <mergeCells count="66">
    <mergeCell ref="B1:N1"/>
    <mergeCell ref="B2:N2"/>
    <mergeCell ref="B3:N3"/>
    <mergeCell ref="B4:H4"/>
    <mergeCell ref="I4:N4"/>
    <mergeCell ref="B6:H6"/>
    <mergeCell ref="I6:N6"/>
    <mergeCell ref="B10:D10"/>
    <mergeCell ref="E10:G10"/>
    <mergeCell ref="I10:K10"/>
    <mergeCell ref="L10:N10"/>
    <mergeCell ref="B7:H7"/>
    <mergeCell ref="I7:N7"/>
    <mergeCell ref="B8:H8"/>
    <mergeCell ref="I8:N8"/>
    <mergeCell ref="B9:H9"/>
    <mergeCell ref="I9:N9"/>
    <mergeCell ref="B11:N11"/>
    <mergeCell ref="B12:D12"/>
    <mergeCell ref="E12:H12"/>
    <mergeCell ref="I12:L12"/>
    <mergeCell ref="M12:N12"/>
    <mergeCell ref="B13:D13"/>
    <mergeCell ref="E13:H13"/>
    <mergeCell ref="I13:J13"/>
    <mergeCell ref="K13:L13"/>
    <mergeCell ref="M13:N13"/>
    <mergeCell ref="B15:N15"/>
    <mergeCell ref="B14:D14"/>
    <mergeCell ref="E14:H14"/>
    <mergeCell ref="I14:J14"/>
    <mergeCell ref="K14:L14"/>
    <mergeCell ref="M14:N14"/>
    <mergeCell ref="B16:N16"/>
    <mergeCell ref="C17:D17"/>
    <mergeCell ref="D18:H18"/>
    <mergeCell ref="D19:H19"/>
    <mergeCell ref="D20:H20"/>
    <mergeCell ref="D21:H21"/>
    <mergeCell ref="D22:H22"/>
    <mergeCell ref="C24:H24"/>
    <mergeCell ref="D26:E26"/>
    <mergeCell ref="C27:H27"/>
    <mergeCell ref="C28:H28"/>
    <mergeCell ref="C31:H31"/>
    <mergeCell ref="C32:H32"/>
    <mergeCell ref="C33:H33"/>
    <mergeCell ref="C34:H34"/>
    <mergeCell ref="C35:H35"/>
    <mergeCell ref="C36:E36"/>
    <mergeCell ref="C37:G37"/>
    <mergeCell ref="C38:E38"/>
    <mergeCell ref="I38:J38"/>
    <mergeCell ref="K38:L38"/>
    <mergeCell ref="D43:E43"/>
    <mergeCell ref="D44:E44"/>
    <mergeCell ref="I51:L51"/>
    <mergeCell ref="D53:E53"/>
    <mergeCell ref="D55:E55"/>
    <mergeCell ref="C56:L56"/>
    <mergeCell ref="B60:C60"/>
    <mergeCell ref="D60:N60"/>
    <mergeCell ref="B61:C61"/>
    <mergeCell ref="D61:N61"/>
    <mergeCell ref="D58:L58"/>
    <mergeCell ref="C59:L59"/>
  </mergeCells>
  <printOptions horizontalCentered="1"/>
  <pageMargins left="0.1968503937007874" right="0.1968503937007874" top="0.1968503937007874" bottom="0.1968503937007874" header="0.1968503937007874" footer="0.196850393700787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GZ213"/>
  <sheetViews>
    <sheetView tabSelected="1" zoomScalePageLayoutView="0" workbookViewId="0" topLeftCell="A19">
      <selection activeCell="P29" sqref="P29"/>
    </sheetView>
  </sheetViews>
  <sheetFormatPr defaultColWidth="9.140625" defaultRowHeight="13.5" customHeight="1"/>
  <cols>
    <col min="1" max="1" width="1.421875" style="0" customWidth="1"/>
    <col min="2" max="2" width="3.57421875" style="0" customWidth="1"/>
    <col min="3" max="3" width="3.140625" style="0" customWidth="1"/>
    <col min="4" max="4" width="3.8515625" style="0" customWidth="1"/>
    <col min="5" max="5" width="9.8515625" style="0" customWidth="1"/>
    <col min="6" max="6" width="13.28125" style="0" customWidth="1"/>
    <col min="7" max="7" width="20.00390625" style="0" customWidth="1"/>
    <col min="8" max="8" width="4.00390625" style="0" customWidth="1"/>
    <col min="9" max="9" width="9.28125" style="0" customWidth="1"/>
    <col min="10" max="10" width="10.00390625" style="0" customWidth="1"/>
    <col min="11" max="11" width="9.8515625" style="0" customWidth="1"/>
    <col min="12" max="12" width="2.8515625" style="0" customWidth="1"/>
    <col min="13" max="13" width="11.421875" style="0" customWidth="1"/>
    <col min="14" max="14" width="4.7109375" style="0" customWidth="1"/>
    <col min="15" max="28" width="8.57421875" style="0" customWidth="1"/>
    <col min="29" max="30" width="9.140625" style="0" customWidth="1"/>
    <col min="31" max="31" width="36.28125" style="0" customWidth="1"/>
    <col min="32" max="32" width="6.8515625" style="0" customWidth="1"/>
    <col min="33" max="33" width="11.28125" style="0" customWidth="1"/>
    <col min="34" max="208" width="9.140625" style="0" customWidth="1"/>
  </cols>
  <sheetData>
    <row r="1" spans="2:13" ht="13.5" customHeight="1">
      <c r="B1" s="5"/>
      <c r="C1" s="5"/>
      <c r="D1" s="5"/>
      <c r="E1" s="5"/>
      <c r="F1" s="5"/>
      <c r="G1" s="5"/>
      <c r="H1" s="5"/>
      <c r="I1" s="5"/>
      <c r="J1" s="5"/>
      <c r="K1" s="5"/>
      <c r="L1" s="5"/>
      <c r="M1" s="5"/>
    </row>
    <row r="2" spans="1:14" ht="15">
      <c r="A2" s="1"/>
      <c r="B2" s="226" t="s">
        <v>104</v>
      </c>
      <c r="C2" s="447" t="s">
        <v>193</v>
      </c>
      <c r="D2" s="448"/>
      <c r="E2" s="448"/>
      <c r="F2" s="448"/>
      <c r="G2" s="448"/>
      <c r="H2" s="461" t="s">
        <v>499</v>
      </c>
      <c r="I2" s="565"/>
      <c r="J2" s="227" t="s">
        <v>98</v>
      </c>
      <c r="K2" s="227" t="s">
        <v>156</v>
      </c>
      <c r="L2" s="228"/>
      <c r="M2" s="229"/>
      <c r="N2" s="4"/>
    </row>
    <row r="3" spans="1:14" ht="15">
      <c r="A3" s="1"/>
      <c r="B3" s="118"/>
      <c r="C3" s="566" t="s">
        <v>35</v>
      </c>
      <c r="D3" s="567"/>
      <c r="E3" s="567"/>
      <c r="F3" s="567"/>
      <c r="G3" s="567"/>
      <c r="H3" s="568" t="s">
        <v>99</v>
      </c>
      <c r="I3" s="569"/>
      <c r="J3" s="230" t="s">
        <v>99</v>
      </c>
      <c r="K3" s="230" t="s">
        <v>99</v>
      </c>
      <c r="L3" s="4"/>
      <c r="M3" s="231"/>
      <c r="N3" s="4"/>
    </row>
    <row r="4" spans="1:14" ht="15">
      <c r="A4" s="1"/>
      <c r="B4" s="232"/>
      <c r="C4" s="435"/>
      <c r="D4" s="436"/>
      <c r="E4" s="570" t="s">
        <v>52</v>
      </c>
      <c r="F4" s="570"/>
      <c r="G4" s="570"/>
      <c r="H4" s="283" t="s">
        <v>494</v>
      </c>
      <c r="I4" s="284">
        <f>STATEMENT!L28</f>
        <v>40</v>
      </c>
      <c r="J4" s="284">
        <f>IF((I4&lt;=AD18),I4,IF((I4&gt;=AD18),AD18))</f>
        <v>40</v>
      </c>
      <c r="K4" s="284">
        <f aca="true" t="shared" si="0" ref="K4:K11">J4</f>
        <v>40</v>
      </c>
      <c r="L4" s="4"/>
      <c r="M4" s="231"/>
      <c r="N4" s="4"/>
    </row>
    <row r="5" spans="1:14" ht="15">
      <c r="A5" s="1"/>
      <c r="B5" s="232"/>
      <c r="C5" s="435"/>
      <c r="D5" s="436"/>
      <c r="E5" s="285" t="str">
        <f>STATEMENT!D21</f>
        <v>Expenditure on medical treatment</v>
      </c>
      <c r="F5" s="286"/>
      <c r="G5" s="286"/>
      <c r="H5" s="283" t="s">
        <v>494</v>
      </c>
      <c r="I5" s="316">
        <f>DATA!M19</f>
        <v>0</v>
      </c>
      <c r="J5" s="284">
        <f>STATEMENT!L21</f>
        <v>0</v>
      </c>
      <c r="K5" s="284">
        <f t="shared" si="0"/>
        <v>0</v>
      </c>
      <c r="L5" s="4"/>
      <c r="M5" s="231"/>
      <c r="N5" s="4"/>
    </row>
    <row r="6" spans="1:14" ht="15">
      <c r="A6" s="1"/>
      <c r="B6" s="232"/>
      <c r="C6" s="435"/>
      <c r="D6" s="436"/>
      <c r="E6" s="285" t="str">
        <f>STATEMENT!D22</f>
        <v>Medical Insurance Premium</v>
      </c>
      <c r="F6" s="286"/>
      <c r="G6" s="286"/>
      <c r="H6" s="283" t="s">
        <v>494</v>
      </c>
      <c r="I6" s="316">
        <f>DATA!M20</f>
        <v>0</v>
      </c>
      <c r="J6" s="284">
        <f>STATEMENT!L22</f>
        <v>0</v>
      </c>
      <c r="K6" s="284">
        <f t="shared" si="0"/>
        <v>0</v>
      </c>
      <c r="L6" s="4"/>
      <c r="M6" s="231"/>
      <c r="N6" s="4"/>
    </row>
    <row r="7" spans="1:14" ht="15">
      <c r="A7" s="1"/>
      <c r="B7" s="232"/>
      <c r="C7" s="435"/>
      <c r="D7" s="436"/>
      <c r="E7" s="285" t="str">
        <f>STATEMENT!D23</f>
        <v>Donation of Charitable Institution</v>
      </c>
      <c r="F7" s="286"/>
      <c r="G7" s="286"/>
      <c r="H7" s="283" t="s">
        <v>494</v>
      </c>
      <c r="I7" s="316">
        <f>DATA!M21</f>
        <v>0</v>
      </c>
      <c r="J7" s="284">
        <f>STATEMENT!L23</f>
        <v>0</v>
      </c>
      <c r="K7" s="284">
        <f t="shared" si="0"/>
        <v>0</v>
      </c>
      <c r="L7" s="4"/>
      <c r="M7" s="231"/>
      <c r="N7" s="4"/>
    </row>
    <row r="8" spans="1:14" ht="15">
      <c r="A8" s="1"/>
      <c r="B8" s="232"/>
      <c r="C8" s="435"/>
      <c r="D8" s="436"/>
      <c r="E8" s="285" t="str">
        <f>STATEMENT!D24</f>
        <v>Interest on Educational Loan</v>
      </c>
      <c r="F8" s="286"/>
      <c r="G8" s="286"/>
      <c r="H8" s="283" t="s">
        <v>494</v>
      </c>
      <c r="I8" s="316">
        <f>DATA!M15</f>
        <v>0</v>
      </c>
      <c r="J8" s="284">
        <f>STATEMENT!L24</f>
        <v>0</v>
      </c>
      <c r="K8" s="284">
        <f t="shared" si="0"/>
        <v>0</v>
      </c>
      <c r="L8" s="4"/>
      <c r="M8" s="231"/>
      <c r="N8" s="4"/>
    </row>
    <row r="9" spans="1:14" ht="15">
      <c r="A9" s="1"/>
      <c r="B9" s="232"/>
      <c r="C9" s="435"/>
      <c r="D9" s="436"/>
      <c r="E9" s="285" t="str">
        <f>STATEMENT!D25</f>
        <v>Interest on Housing Loan Advance</v>
      </c>
      <c r="F9" s="286"/>
      <c r="G9" s="286"/>
      <c r="H9" s="283" t="s">
        <v>494</v>
      </c>
      <c r="I9" s="316">
        <f>DATA!M16</f>
        <v>0</v>
      </c>
      <c r="J9" s="284">
        <f>STATEMENT!L25</f>
        <v>0</v>
      </c>
      <c r="K9" s="284">
        <f t="shared" si="0"/>
        <v>0</v>
      </c>
      <c r="L9" s="4"/>
      <c r="M9" s="231"/>
      <c r="N9" s="4"/>
    </row>
    <row r="10" spans="1:14" ht="18" customHeight="1">
      <c r="A10" s="1"/>
      <c r="B10" s="232"/>
      <c r="C10" s="435"/>
      <c r="D10" s="436"/>
      <c r="E10" s="543" t="str">
        <f>STATEMENT!D26</f>
        <v>Medical treatment of Handicapped/Dependent</v>
      </c>
      <c r="F10" s="543"/>
      <c r="G10" s="543"/>
      <c r="H10" s="283" t="s">
        <v>494</v>
      </c>
      <c r="I10" s="316">
        <f>DATA!M17</f>
        <v>0</v>
      </c>
      <c r="J10" s="284">
        <f>STATEMENT!L26</f>
        <v>0</v>
      </c>
      <c r="K10" s="284">
        <f t="shared" si="0"/>
        <v>0</v>
      </c>
      <c r="L10" s="4"/>
      <c r="M10" s="231"/>
      <c r="N10" s="4"/>
    </row>
    <row r="11" spans="1:14" ht="15">
      <c r="A11" s="1"/>
      <c r="B11" s="232"/>
      <c r="C11" s="435"/>
      <c r="D11" s="436"/>
      <c r="E11" s="285" t="str">
        <f>STATEMENT!D27</f>
        <v>Maintaince for disabled Person</v>
      </c>
      <c r="F11" s="286"/>
      <c r="G11" s="286"/>
      <c r="H11" s="283" t="s">
        <v>494</v>
      </c>
      <c r="I11" s="316">
        <f>DATA!M18</f>
        <v>0</v>
      </c>
      <c r="J11" s="284">
        <f>STATEMENT!L27</f>
        <v>0</v>
      </c>
      <c r="K11" s="284">
        <f t="shared" si="0"/>
        <v>0</v>
      </c>
      <c r="L11" s="107"/>
      <c r="M11" s="233"/>
      <c r="N11" s="4"/>
    </row>
    <row r="12" spans="1:14" ht="15.75">
      <c r="A12" s="1"/>
      <c r="B12" s="118"/>
      <c r="C12" s="4"/>
      <c r="G12" s="177" t="s">
        <v>22</v>
      </c>
      <c r="H12" s="20"/>
      <c r="I12" s="1"/>
      <c r="J12" s="315"/>
      <c r="K12" s="315"/>
      <c r="L12" s="234" t="s">
        <v>494</v>
      </c>
      <c r="M12" s="278">
        <f>SUM(K4:K10)</f>
        <v>40</v>
      </c>
      <c r="N12" s="4"/>
    </row>
    <row r="13" spans="1:14" ht="15.75">
      <c r="A13" s="1"/>
      <c r="B13" s="118">
        <v>10</v>
      </c>
      <c r="C13" s="439" t="s">
        <v>552</v>
      </c>
      <c r="D13" s="440"/>
      <c r="E13" s="440"/>
      <c r="F13" s="440"/>
      <c r="G13" s="440"/>
      <c r="H13" s="440"/>
      <c r="I13" s="442"/>
      <c r="J13" s="235"/>
      <c r="K13" s="235"/>
      <c r="L13" s="236" t="s">
        <v>494</v>
      </c>
      <c r="M13" s="279">
        <f>'Form 16 Page1'!N56+'Form 16 Page2'!M12</f>
        <v>87483</v>
      </c>
      <c r="N13" s="4"/>
    </row>
    <row r="14" spans="1:14" ht="7.5" customHeight="1">
      <c r="A14" s="1"/>
      <c r="B14" s="118"/>
      <c r="C14" s="4"/>
      <c r="I14" s="1"/>
      <c r="J14" s="235"/>
      <c r="K14" s="235"/>
      <c r="L14" s="111"/>
      <c r="M14" s="280"/>
      <c r="N14" s="4"/>
    </row>
    <row r="15" spans="1:14" ht="15.75">
      <c r="A15" s="1"/>
      <c r="B15" s="118">
        <v>11</v>
      </c>
      <c r="C15" s="439" t="s">
        <v>443</v>
      </c>
      <c r="D15" s="440"/>
      <c r="E15" s="440"/>
      <c r="F15" s="440"/>
      <c r="G15" s="440"/>
      <c r="H15" s="440"/>
      <c r="I15" s="442"/>
      <c r="J15" s="235"/>
      <c r="K15" s="235"/>
      <c r="L15" s="237" t="s">
        <v>494</v>
      </c>
      <c r="M15" s="281">
        <f>ROUND(('Form 16 Page1'!N36-'Form 16 Page2'!M13),-1)</f>
        <v>160000</v>
      </c>
      <c r="N15" s="4"/>
    </row>
    <row r="16" spans="1:14" ht="15.75">
      <c r="A16" s="1"/>
      <c r="B16" s="118">
        <v>12</v>
      </c>
      <c r="C16" s="439" t="s">
        <v>528</v>
      </c>
      <c r="D16" s="440"/>
      <c r="E16" s="440"/>
      <c r="F16" s="440"/>
      <c r="G16" s="440"/>
      <c r="H16" s="440"/>
      <c r="I16" s="442"/>
      <c r="J16" s="235"/>
      <c r="K16" s="235"/>
      <c r="L16" s="236" t="s">
        <v>494</v>
      </c>
      <c r="M16" s="282">
        <f>(STATEMENT!M47+STATEMENT!M48)+STATEMENT!M49</f>
        <v>0</v>
      </c>
      <c r="N16" s="4"/>
    </row>
    <row r="17" spans="1:14" ht="15.75">
      <c r="A17" s="1"/>
      <c r="B17" s="118">
        <v>13</v>
      </c>
      <c r="C17" s="438" t="s">
        <v>191</v>
      </c>
      <c r="D17" s="432"/>
      <c r="E17" s="432"/>
      <c r="F17" s="432"/>
      <c r="G17" s="432"/>
      <c r="H17" s="432"/>
      <c r="I17" s="446"/>
      <c r="J17" s="235"/>
      <c r="K17" s="235"/>
      <c r="L17" s="236" t="s">
        <v>494</v>
      </c>
      <c r="M17" s="282">
        <f>ROUND((M16*(1/100)),0)</f>
        <v>0</v>
      </c>
      <c r="N17" s="4"/>
    </row>
    <row r="18" spans="1:30" ht="15.75">
      <c r="A18" s="1"/>
      <c r="B18" s="118">
        <v>14</v>
      </c>
      <c r="C18" s="438" t="s">
        <v>429</v>
      </c>
      <c r="D18" s="432"/>
      <c r="E18" s="432"/>
      <c r="F18" s="432"/>
      <c r="G18" s="432"/>
      <c r="H18" s="432"/>
      <c r="I18" s="446"/>
      <c r="J18" s="235"/>
      <c r="K18" s="235"/>
      <c r="L18" s="236" t="s">
        <v>494</v>
      </c>
      <c r="M18" s="282">
        <f>ROUND((M16*(2/100)),0)</f>
        <v>0</v>
      </c>
      <c r="N18" s="4"/>
      <c r="AD18" s="238">
        <v>100000</v>
      </c>
    </row>
    <row r="19" spans="1:14" ht="15.75">
      <c r="A19" s="1"/>
      <c r="B19" s="118">
        <v>15</v>
      </c>
      <c r="C19" s="439" t="s">
        <v>195</v>
      </c>
      <c r="D19" s="440"/>
      <c r="E19" s="440"/>
      <c r="F19" s="440"/>
      <c r="G19" s="440"/>
      <c r="H19" s="440"/>
      <c r="I19" s="442"/>
      <c r="J19" s="235"/>
      <c r="K19" s="235"/>
      <c r="L19" s="236" t="s">
        <v>494</v>
      </c>
      <c r="M19" s="279">
        <f>SUM(M16:M18)</f>
        <v>0</v>
      </c>
      <c r="N19" s="4"/>
    </row>
    <row r="20" spans="1:14" ht="15.75">
      <c r="A20" s="1"/>
      <c r="B20" s="118">
        <v>16</v>
      </c>
      <c r="C20" s="438" t="s">
        <v>135</v>
      </c>
      <c r="D20" s="432"/>
      <c r="E20" s="432"/>
      <c r="F20" s="432"/>
      <c r="G20" s="432"/>
      <c r="H20" s="432"/>
      <c r="I20" s="446"/>
      <c r="J20" s="235"/>
      <c r="K20" s="235"/>
      <c r="L20" s="236" t="s">
        <v>494</v>
      </c>
      <c r="M20" s="282">
        <v>0</v>
      </c>
      <c r="N20" s="4"/>
    </row>
    <row r="21" spans="1:14" ht="15.75">
      <c r="A21" s="1"/>
      <c r="B21" s="118">
        <v>17</v>
      </c>
      <c r="C21" s="439" t="s">
        <v>320</v>
      </c>
      <c r="D21" s="440"/>
      <c r="E21" s="440"/>
      <c r="F21" s="440"/>
      <c r="G21" s="440"/>
      <c r="H21" s="440"/>
      <c r="I21" s="442"/>
      <c r="J21" s="235"/>
      <c r="K21" s="235"/>
      <c r="L21" s="236" t="s">
        <v>494</v>
      </c>
      <c r="M21" s="279">
        <f>M19-M20</f>
        <v>0</v>
      </c>
      <c r="N21" s="4"/>
    </row>
    <row r="22" spans="1:14" ht="15.75">
      <c r="A22" s="1"/>
      <c r="B22" s="118">
        <v>18</v>
      </c>
      <c r="C22" s="435" t="s">
        <v>498</v>
      </c>
      <c r="D22" s="432"/>
      <c r="E22" s="432"/>
      <c r="F22" s="432"/>
      <c r="G22" s="432"/>
      <c r="H22" s="432"/>
      <c r="I22" s="446"/>
      <c r="J22" s="235"/>
      <c r="K22" s="235"/>
      <c r="L22" s="236" t="s">
        <v>494</v>
      </c>
      <c r="M22" s="282">
        <v>0</v>
      </c>
      <c r="N22" s="4"/>
    </row>
    <row r="23" spans="1:14" ht="15.75">
      <c r="A23" s="1"/>
      <c r="B23" s="118"/>
      <c r="C23" s="4"/>
      <c r="D23" s="437" t="s">
        <v>225</v>
      </c>
      <c r="E23" s="437"/>
      <c r="F23" s="437"/>
      <c r="G23" s="437"/>
      <c r="H23" s="437"/>
      <c r="I23" s="564"/>
      <c r="J23" s="235"/>
      <c r="K23" s="235"/>
      <c r="L23" s="236" t="s">
        <v>494</v>
      </c>
      <c r="M23" s="282"/>
      <c r="N23" s="4"/>
    </row>
    <row r="24" spans="1:14" ht="15.75">
      <c r="A24" s="1"/>
      <c r="B24" s="118"/>
      <c r="C24" s="4"/>
      <c r="D24" s="432" t="s">
        <v>315</v>
      </c>
      <c r="E24" s="432"/>
      <c r="F24" s="432"/>
      <c r="G24" s="432"/>
      <c r="H24" s="432"/>
      <c r="I24" s="446"/>
      <c r="J24" s="235"/>
      <c r="K24" s="235"/>
      <c r="L24" s="236" t="s">
        <v>494</v>
      </c>
      <c r="M24" s="282">
        <v>0</v>
      </c>
      <c r="N24" s="4"/>
    </row>
    <row r="25" spans="1:14" ht="15.75">
      <c r="A25" s="1"/>
      <c r="B25" s="240">
        <v>19</v>
      </c>
      <c r="C25" s="556" t="s">
        <v>381</v>
      </c>
      <c r="D25" s="557"/>
      <c r="E25" s="557"/>
      <c r="F25" s="557"/>
      <c r="G25" s="557"/>
      <c r="H25" s="5"/>
      <c r="I25" s="108"/>
      <c r="J25" s="241"/>
      <c r="K25" s="241"/>
      <c r="L25" s="234" t="s">
        <v>494</v>
      </c>
      <c r="M25" s="278">
        <f>(M21-(M22+M24))</f>
        <v>0</v>
      </c>
      <c r="N25" s="4"/>
    </row>
    <row r="26" spans="1:14" ht="13.5" customHeight="1">
      <c r="A26" s="1"/>
      <c r="B26" s="242"/>
      <c r="C26" s="243"/>
      <c r="D26" s="243"/>
      <c r="E26" s="243"/>
      <c r="F26" s="243"/>
      <c r="G26" s="243"/>
      <c r="H26" s="243"/>
      <c r="I26" s="244"/>
      <c r="J26" s="245"/>
      <c r="K26" s="245"/>
      <c r="L26" s="242"/>
      <c r="M26" s="244"/>
      <c r="N26" s="4"/>
    </row>
    <row r="27" spans="1:14" ht="13.5" customHeight="1">
      <c r="A27" s="1"/>
      <c r="B27" s="228"/>
      <c r="C27" s="20"/>
      <c r="D27" s="20"/>
      <c r="E27" s="20"/>
      <c r="F27" s="20"/>
      <c r="G27" s="20"/>
      <c r="H27" s="20"/>
      <c r="I27" s="20"/>
      <c r="J27" s="20"/>
      <c r="K27" s="20"/>
      <c r="L27" s="20"/>
      <c r="M27" s="246"/>
      <c r="N27" s="4"/>
    </row>
    <row r="28" spans="1:14" ht="15">
      <c r="A28" s="1"/>
      <c r="B28" s="558" t="s">
        <v>6</v>
      </c>
      <c r="C28" s="559"/>
      <c r="D28" s="559"/>
      <c r="E28" s="559"/>
      <c r="F28" s="559"/>
      <c r="G28" s="559"/>
      <c r="H28" s="559"/>
      <c r="I28" s="559"/>
      <c r="J28" s="559"/>
      <c r="K28" s="559"/>
      <c r="L28" s="559"/>
      <c r="M28" s="560"/>
      <c r="N28" s="4"/>
    </row>
    <row r="29" spans="1:14" ht="13.5" customHeight="1">
      <c r="A29" s="1"/>
      <c r="B29" s="561" t="s">
        <v>538</v>
      </c>
      <c r="C29" s="562"/>
      <c r="D29" s="562"/>
      <c r="E29" s="562"/>
      <c r="F29" s="562"/>
      <c r="G29" s="562"/>
      <c r="H29" s="562"/>
      <c r="I29" s="562"/>
      <c r="J29" s="562"/>
      <c r="K29" s="562"/>
      <c r="L29" s="562"/>
      <c r="M29" s="563"/>
      <c r="N29" s="4"/>
    </row>
    <row r="30" spans="1:14" ht="13.5" customHeight="1">
      <c r="A30" s="1"/>
      <c r="B30" s="247"/>
      <c r="C30" s="5"/>
      <c r="D30" s="5"/>
      <c r="E30" s="5"/>
      <c r="F30" s="5"/>
      <c r="G30" s="5"/>
      <c r="H30" s="5"/>
      <c r="I30" s="5"/>
      <c r="J30" s="5"/>
      <c r="K30" s="5"/>
      <c r="L30" s="5"/>
      <c r="M30" s="160"/>
      <c r="N30" s="4"/>
    </row>
    <row r="31" spans="1:14" ht="13.5" customHeight="1">
      <c r="A31" s="1"/>
      <c r="B31" s="248" t="s">
        <v>297</v>
      </c>
      <c r="C31" s="502" t="s">
        <v>198</v>
      </c>
      <c r="D31" s="504"/>
      <c r="E31" s="249" t="s">
        <v>268</v>
      </c>
      <c r="F31" s="248" t="s">
        <v>286</v>
      </c>
      <c r="G31" s="248" t="s">
        <v>463</v>
      </c>
      <c r="H31" s="502" t="s">
        <v>167</v>
      </c>
      <c r="I31" s="504"/>
      <c r="J31" s="248" t="s">
        <v>227</v>
      </c>
      <c r="K31" s="248" t="s">
        <v>380</v>
      </c>
      <c r="L31" s="502" t="s">
        <v>525</v>
      </c>
      <c r="M31" s="504"/>
      <c r="N31" s="4"/>
    </row>
    <row r="32" spans="1:14" ht="13.5" customHeight="1">
      <c r="A32" s="1"/>
      <c r="B32" s="250" t="s">
        <v>467</v>
      </c>
      <c r="C32" s="552" t="s">
        <v>494</v>
      </c>
      <c r="D32" s="553"/>
      <c r="E32" s="235" t="s">
        <v>494</v>
      </c>
      <c r="F32" s="250" t="s">
        <v>515</v>
      </c>
      <c r="G32" s="250" t="s">
        <v>330</v>
      </c>
      <c r="H32" s="552" t="s">
        <v>472</v>
      </c>
      <c r="I32" s="553"/>
      <c r="J32" s="250" t="s">
        <v>56</v>
      </c>
      <c r="K32" s="250" t="s">
        <v>423</v>
      </c>
      <c r="L32" s="552" t="s">
        <v>128</v>
      </c>
      <c r="M32" s="553"/>
      <c r="N32" s="4"/>
    </row>
    <row r="33" spans="1:14" ht="13.5" customHeight="1">
      <c r="A33" s="1"/>
      <c r="B33" s="251"/>
      <c r="C33" s="554"/>
      <c r="D33" s="555"/>
      <c r="E33" s="159"/>
      <c r="F33" s="159" t="s">
        <v>494</v>
      </c>
      <c r="G33" s="159" t="s">
        <v>494</v>
      </c>
      <c r="H33" s="554"/>
      <c r="I33" s="555"/>
      <c r="J33" s="159" t="s">
        <v>474</v>
      </c>
      <c r="K33" s="159" t="s">
        <v>330</v>
      </c>
      <c r="L33" s="554" t="s">
        <v>333</v>
      </c>
      <c r="M33" s="555"/>
      <c r="N33" s="4"/>
    </row>
    <row r="34" spans="1:14" ht="13.5" customHeight="1">
      <c r="A34" s="1"/>
      <c r="B34" s="252">
        <v>1</v>
      </c>
      <c r="C34" s="253"/>
      <c r="D34" s="117"/>
      <c r="E34" s="252"/>
      <c r="F34" s="252"/>
      <c r="G34" s="252"/>
      <c r="H34" s="253"/>
      <c r="I34" s="117"/>
      <c r="J34" s="252"/>
      <c r="K34" s="252"/>
      <c r="L34" s="253"/>
      <c r="M34" s="117"/>
      <c r="N34" s="4"/>
    </row>
    <row r="35" spans="1:14" ht="13.5" customHeight="1">
      <c r="A35" s="1"/>
      <c r="B35" s="252">
        <v>2</v>
      </c>
      <c r="C35" s="253"/>
      <c r="D35" s="117"/>
      <c r="E35" s="252"/>
      <c r="F35" s="252"/>
      <c r="G35" s="252"/>
      <c r="H35" s="253"/>
      <c r="I35" s="117"/>
      <c r="J35" s="252"/>
      <c r="K35" s="252"/>
      <c r="L35" s="253"/>
      <c r="M35" s="117"/>
      <c r="N35" s="4"/>
    </row>
    <row r="36" spans="1:14" ht="13.5" customHeight="1">
      <c r="A36" s="1"/>
      <c r="B36" s="252">
        <v>3</v>
      </c>
      <c r="C36" s="253"/>
      <c r="D36" s="117"/>
      <c r="E36" s="252"/>
      <c r="F36" s="252"/>
      <c r="G36" s="252"/>
      <c r="H36" s="253"/>
      <c r="I36" s="117"/>
      <c r="J36" s="252"/>
      <c r="K36" s="252"/>
      <c r="L36" s="253"/>
      <c r="M36" s="117"/>
      <c r="N36" s="4"/>
    </row>
    <row r="37" spans="1:14" ht="13.5" customHeight="1">
      <c r="A37" s="1"/>
      <c r="B37" s="252">
        <v>4</v>
      </c>
      <c r="C37" s="253"/>
      <c r="D37" s="117"/>
      <c r="E37" s="252"/>
      <c r="F37" s="252"/>
      <c r="G37" s="252"/>
      <c r="H37" s="253"/>
      <c r="I37" s="117"/>
      <c r="J37" s="252"/>
      <c r="K37" s="252"/>
      <c r="L37" s="253"/>
      <c r="M37" s="117"/>
      <c r="N37" s="4"/>
    </row>
    <row r="38" spans="1:14" ht="13.5" customHeight="1">
      <c r="A38" s="1"/>
      <c r="B38" s="252">
        <v>5</v>
      </c>
      <c r="C38" s="253"/>
      <c r="D38" s="117"/>
      <c r="E38" s="252"/>
      <c r="F38" s="252"/>
      <c r="G38" s="252"/>
      <c r="H38" s="253"/>
      <c r="I38" s="117"/>
      <c r="J38" s="252"/>
      <c r="K38" s="252"/>
      <c r="L38" s="253"/>
      <c r="M38" s="117"/>
      <c r="N38" s="4"/>
    </row>
    <row r="39" spans="1:14" ht="13.5" customHeight="1">
      <c r="A39" s="1"/>
      <c r="B39" s="252">
        <v>6</v>
      </c>
      <c r="C39" s="548"/>
      <c r="D39" s="459"/>
      <c r="E39" s="252"/>
      <c r="F39" s="252"/>
      <c r="G39" s="252"/>
      <c r="H39" s="548"/>
      <c r="I39" s="459"/>
      <c r="J39" s="252"/>
      <c r="K39" s="252"/>
      <c r="L39" s="548"/>
      <c r="M39" s="459"/>
      <c r="N39" s="4"/>
    </row>
    <row r="40" spans="1:14" ht="13.5" customHeight="1">
      <c r="A40" s="1"/>
      <c r="B40" s="252">
        <v>7</v>
      </c>
      <c r="C40" s="253"/>
      <c r="D40" s="117"/>
      <c r="E40" s="252"/>
      <c r="F40" s="252"/>
      <c r="G40" s="252"/>
      <c r="H40" s="253"/>
      <c r="I40" s="117"/>
      <c r="J40" s="252"/>
      <c r="K40" s="252"/>
      <c r="L40" s="253"/>
      <c r="M40" s="117"/>
      <c r="N40" s="4"/>
    </row>
    <row r="41" spans="1:14" ht="13.5" customHeight="1">
      <c r="A41" s="1"/>
      <c r="B41" s="252">
        <v>8</v>
      </c>
      <c r="C41" s="548"/>
      <c r="D41" s="459"/>
      <c r="E41" s="252"/>
      <c r="F41" s="252"/>
      <c r="G41" s="252"/>
      <c r="H41" s="548"/>
      <c r="I41" s="459"/>
      <c r="J41" s="252"/>
      <c r="K41" s="252"/>
      <c r="L41" s="548"/>
      <c r="M41" s="459"/>
      <c r="N41" s="4"/>
    </row>
    <row r="42" spans="1:14" ht="13.5" customHeight="1">
      <c r="A42" s="1"/>
      <c r="B42" s="252">
        <v>9</v>
      </c>
      <c r="C42" s="253"/>
      <c r="D42" s="117"/>
      <c r="E42" s="252"/>
      <c r="F42" s="252"/>
      <c r="G42" s="252"/>
      <c r="H42" s="253"/>
      <c r="I42" s="117"/>
      <c r="J42" s="252"/>
      <c r="K42" s="252"/>
      <c r="L42" s="253"/>
      <c r="M42" s="117"/>
      <c r="N42" s="4"/>
    </row>
    <row r="43" spans="1:14" ht="13.5" customHeight="1">
      <c r="A43" s="1"/>
      <c r="B43" s="252">
        <v>10</v>
      </c>
      <c r="C43" s="253"/>
      <c r="D43" s="117"/>
      <c r="E43" s="252"/>
      <c r="F43" s="252"/>
      <c r="G43" s="252"/>
      <c r="H43" s="253"/>
      <c r="I43" s="117"/>
      <c r="J43" s="252"/>
      <c r="K43" s="252"/>
      <c r="L43" s="253"/>
      <c r="M43" s="117"/>
      <c r="N43" s="4"/>
    </row>
    <row r="44" spans="1:14" ht="13.5" customHeight="1">
      <c r="A44" s="1"/>
      <c r="B44" s="252">
        <v>11</v>
      </c>
      <c r="C44" s="548"/>
      <c r="D44" s="459"/>
      <c r="E44" s="252"/>
      <c r="F44" s="252"/>
      <c r="G44" s="252"/>
      <c r="H44" s="548"/>
      <c r="I44" s="459"/>
      <c r="J44" s="252"/>
      <c r="K44" s="252"/>
      <c r="L44" s="548"/>
      <c r="M44" s="459"/>
      <c r="N44" s="4"/>
    </row>
    <row r="45" spans="1:31" ht="13.5" customHeight="1">
      <c r="A45" s="1"/>
      <c r="B45" s="252">
        <v>12</v>
      </c>
      <c r="C45" s="548"/>
      <c r="D45" s="459"/>
      <c r="E45" s="252"/>
      <c r="F45" s="252"/>
      <c r="G45" s="252"/>
      <c r="H45" s="548"/>
      <c r="I45" s="459"/>
      <c r="J45" s="252"/>
      <c r="K45" s="252"/>
      <c r="L45" s="548"/>
      <c r="M45" s="459"/>
      <c r="N45" s="4"/>
      <c r="AE45" s="189" t="s">
        <v>407</v>
      </c>
    </row>
    <row r="46" spans="1:31" ht="13.5" customHeight="1">
      <c r="A46" s="1"/>
      <c r="B46" s="228"/>
      <c r="C46" s="20"/>
      <c r="D46" s="20"/>
      <c r="E46" s="20"/>
      <c r="F46" s="20"/>
      <c r="G46" s="20"/>
      <c r="H46" s="503"/>
      <c r="I46" s="503"/>
      <c r="J46" s="20"/>
      <c r="K46" s="20"/>
      <c r="L46" s="20"/>
      <c r="M46" s="246"/>
      <c r="N46" s="4"/>
      <c r="AE46" s="189" t="s">
        <v>491</v>
      </c>
    </row>
    <row r="47" spans="1:31" ht="14.25" customHeight="1">
      <c r="A47" s="1"/>
      <c r="B47" s="549" t="str">
        <f>CONCATENATE("  I ",DATA!C23," working as ",DATA!G23," do  hereby  certify  that  the  sum  of Rs. ",STATEMENT!M58,"/- Rupees in words ",words!B16," deducted   at  source"&amp;" and  paid  to  the credit  of the central Government.   I  further certify  that  the  Informtion givin above is true and  correct based on the books of account, documents and other available records.")</f>
        <v>  I P.NARAYANA working as MEO do  hereby  certify  that  the  sum  of Rs. 0/- Rupees in words (Zero rupees only) deducted   at  source and  paid  to  the credit  of the central Government.   I  further certify  that  the  Informtion givin above is true and  correct based on the books of account, documents and other available records.</v>
      </c>
      <c r="C47" s="550"/>
      <c r="D47" s="550"/>
      <c r="E47" s="550"/>
      <c r="F47" s="550"/>
      <c r="G47" s="550"/>
      <c r="H47" s="550"/>
      <c r="I47" s="550"/>
      <c r="J47" s="550"/>
      <c r="K47" s="550"/>
      <c r="L47" s="550"/>
      <c r="M47" s="551"/>
      <c r="N47" s="4"/>
      <c r="AE47" s="254" t="e">
        <f>CONCATENATE(#REF!,"",#REF!)</f>
        <v>#REF!</v>
      </c>
    </row>
    <row r="48" spans="1:31" ht="14.25">
      <c r="A48" s="1"/>
      <c r="B48" s="549"/>
      <c r="C48" s="550"/>
      <c r="D48" s="550"/>
      <c r="E48" s="550"/>
      <c r="F48" s="550"/>
      <c r="G48" s="550"/>
      <c r="H48" s="550"/>
      <c r="I48" s="550"/>
      <c r="J48" s="550"/>
      <c r="K48" s="550"/>
      <c r="L48" s="550"/>
      <c r="M48" s="551"/>
      <c r="N48" s="4"/>
      <c r="AE48" s="255" t="str">
        <f>DB204</f>
        <v>Seventy Thousand Six Hundred and Ninety five rupees Only</v>
      </c>
    </row>
    <row r="49" spans="1:28" ht="13.5" customHeight="1">
      <c r="A49" s="1"/>
      <c r="B49" s="549"/>
      <c r="C49" s="550"/>
      <c r="D49" s="550"/>
      <c r="E49" s="550"/>
      <c r="F49" s="550"/>
      <c r="G49" s="550"/>
      <c r="H49" s="550"/>
      <c r="I49" s="550"/>
      <c r="J49" s="550"/>
      <c r="K49" s="550"/>
      <c r="L49" s="550"/>
      <c r="M49" s="551"/>
      <c r="N49" s="4"/>
      <c r="AB49" s="105" t="s">
        <v>494</v>
      </c>
    </row>
    <row r="50" spans="1:14" ht="13.5" customHeight="1">
      <c r="A50" s="1"/>
      <c r="B50" s="549"/>
      <c r="C50" s="550"/>
      <c r="D50" s="550"/>
      <c r="E50" s="550"/>
      <c r="F50" s="550"/>
      <c r="G50" s="550"/>
      <c r="H50" s="550"/>
      <c r="I50" s="550"/>
      <c r="J50" s="550"/>
      <c r="K50" s="550"/>
      <c r="L50" s="550"/>
      <c r="M50" s="551"/>
      <c r="N50" s="4"/>
    </row>
    <row r="51" spans="1:14" ht="13.5" customHeight="1">
      <c r="A51" s="1"/>
      <c r="B51" s="256"/>
      <c r="M51" s="138"/>
      <c r="N51" s="4"/>
    </row>
    <row r="52" spans="1:14" ht="13.5" customHeight="1">
      <c r="A52" s="1"/>
      <c r="B52" s="256"/>
      <c r="M52" s="138"/>
      <c r="N52" s="4"/>
    </row>
    <row r="53" spans="1:14" ht="13.5" customHeight="1">
      <c r="A53" s="1"/>
      <c r="B53" s="257"/>
      <c r="G53" s="148" t="s">
        <v>12</v>
      </c>
      <c r="M53" s="239"/>
      <c r="N53" s="4"/>
    </row>
    <row r="54" spans="1:14" ht="13.5" customHeight="1">
      <c r="A54" s="1"/>
      <c r="B54" s="257"/>
      <c r="M54" s="239"/>
      <c r="N54" s="4"/>
    </row>
    <row r="55" spans="1:14" ht="13.5" customHeight="1">
      <c r="A55" s="1"/>
      <c r="B55" s="438" t="s">
        <v>14</v>
      </c>
      <c r="C55" s="432"/>
      <c r="D55" s="148" t="str">
        <f>DATA!L4</f>
        <v>TRIPURARAM</v>
      </c>
      <c r="G55" s="148" t="s">
        <v>448</v>
      </c>
      <c r="M55" s="239"/>
      <c r="N55" s="4"/>
    </row>
    <row r="56" spans="1:14" ht="13.5" customHeight="1">
      <c r="A56" s="1"/>
      <c r="B56" s="438" t="s">
        <v>306</v>
      </c>
      <c r="C56" s="432"/>
      <c r="D56" s="547">
        <f ca="1">TODAY()</f>
        <v>40677</v>
      </c>
      <c r="E56" s="547"/>
      <c r="G56" s="127" t="s">
        <v>273</v>
      </c>
      <c r="H56" s="432" t="str">
        <f>DATA!C23</f>
        <v>P.NARAYANA</v>
      </c>
      <c r="I56" s="432"/>
      <c r="J56" s="432"/>
      <c r="K56" s="432"/>
      <c r="M56" s="128"/>
      <c r="N56" s="4"/>
    </row>
    <row r="57" spans="1:14" ht="13.5" customHeight="1">
      <c r="A57" s="1"/>
      <c r="B57" s="257"/>
      <c r="G57" s="148" t="s">
        <v>217</v>
      </c>
      <c r="H57" s="432" t="str">
        <f>DATA!G23</f>
        <v>MEO</v>
      </c>
      <c r="I57" s="432"/>
      <c r="J57" s="432"/>
      <c r="K57" s="432"/>
      <c r="M57" s="128"/>
      <c r="N57" s="4"/>
    </row>
    <row r="58" spans="1:14" ht="13.5" customHeight="1">
      <c r="A58" s="1"/>
      <c r="B58" s="247"/>
      <c r="C58" s="169"/>
      <c r="D58" s="169"/>
      <c r="E58" s="169"/>
      <c r="F58" s="169"/>
      <c r="G58" s="169"/>
      <c r="H58" s="169"/>
      <c r="I58" s="169"/>
      <c r="J58" s="169"/>
      <c r="K58" s="169"/>
      <c r="L58" s="169"/>
      <c r="M58" s="160"/>
      <c r="N58" s="4"/>
    </row>
    <row r="59" spans="2:13" ht="14.25">
      <c r="B59" s="258"/>
      <c r="C59" s="20"/>
      <c r="D59" s="20"/>
      <c r="E59" s="20"/>
      <c r="F59" s="20"/>
      <c r="G59" s="20"/>
      <c r="H59" s="20"/>
      <c r="I59" s="20"/>
      <c r="J59" s="20"/>
      <c r="K59" s="20"/>
      <c r="L59" s="20"/>
      <c r="M59" s="20"/>
    </row>
    <row r="61" spans="2:13" ht="13.5" customHeight="1">
      <c r="B61" s="544" t="s">
        <v>568</v>
      </c>
      <c r="C61" s="545"/>
      <c r="D61" s="545"/>
      <c r="E61" s="545"/>
      <c r="F61" s="545"/>
      <c r="G61" s="545"/>
      <c r="H61" s="545"/>
      <c r="I61" s="545"/>
      <c r="J61" s="545"/>
      <c r="K61" s="545"/>
      <c r="L61" s="545"/>
      <c r="M61" s="546"/>
    </row>
    <row r="62" spans="2:13" ht="13.5" customHeight="1">
      <c r="B62" s="544"/>
      <c r="C62" s="545"/>
      <c r="D62" s="545"/>
      <c r="E62" s="545"/>
      <c r="F62" s="545"/>
      <c r="G62" s="545"/>
      <c r="H62" s="545"/>
      <c r="I62" s="545"/>
      <c r="J62" s="545"/>
      <c r="K62" s="545"/>
      <c r="L62" s="545"/>
      <c r="M62" s="546"/>
    </row>
    <row r="63" spans="2:13" ht="13.5" customHeight="1">
      <c r="B63" s="544"/>
      <c r="C63" s="545"/>
      <c r="D63" s="545"/>
      <c r="E63" s="545"/>
      <c r="F63" s="545"/>
      <c r="G63" s="545"/>
      <c r="H63" s="545"/>
      <c r="I63" s="545"/>
      <c r="J63" s="545"/>
      <c r="K63" s="545"/>
      <c r="L63" s="545"/>
      <c r="M63" s="546"/>
    </row>
    <row r="64" spans="2:13" ht="13.5" customHeight="1">
      <c r="B64" s="544"/>
      <c r="C64" s="545"/>
      <c r="D64" s="545"/>
      <c r="E64" s="545"/>
      <c r="F64" s="545"/>
      <c r="G64" s="545"/>
      <c r="H64" s="545"/>
      <c r="I64" s="545"/>
      <c r="J64" s="545"/>
      <c r="K64" s="545"/>
      <c r="L64" s="545"/>
      <c r="M64" s="546"/>
    </row>
    <row r="65" spans="2:13" ht="13.5" customHeight="1">
      <c r="B65" s="544"/>
      <c r="C65" s="545"/>
      <c r="D65" s="545"/>
      <c r="E65" s="545"/>
      <c r="F65" s="545"/>
      <c r="G65" s="545"/>
      <c r="H65" s="545"/>
      <c r="I65" s="545"/>
      <c r="J65" s="545"/>
      <c r="K65" s="545"/>
      <c r="L65" s="545"/>
      <c r="M65" s="546"/>
    </row>
    <row r="203" ht="13.5" customHeight="1">
      <c r="DB203" s="148" t="s">
        <v>264</v>
      </c>
    </row>
    <row r="204" ht="13.5" customHeight="1">
      <c r="DB204" s="148" t="str">
        <f>CONCATENATE(DK213," ",DB203)</f>
        <v>Seventy Thousand Six Hundred and Ninety five rupees Only</v>
      </c>
    </row>
    <row r="207" spans="110:208" ht="13.5" customHeight="1">
      <c r="DF207" s="202">
        <v>1</v>
      </c>
      <c r="DG207" s="202">
        <v>2</v>
      </c>
      <c r="DH207" s="202">
        <v>3</v>
      </c>
      <c r="DI207" s="202">
        <v>4</v>
      </c>
      <c r="DJ207" s="202">
        <v>5</v>
      </c>
      <c r="DK207" s="202">
        <v>6</v>
      </c>
      <c r="DL207" s="202">
        <v>7</v>
      </c>
      <c r="DM207" s="202">
        <v>8</v>
      </c>
      <c r="DN207" s="202">
        <v>9</v>
      </c>
      <c r="DO207" s="202">
        <v>10</v>
      </c>
      <c r="DP207" s="202">
        <v>11</v>
      </c>
      <c r="DQ207" s="202">
        <v>12</v>
      </c>
      <c r="DR207" s="202">
        <v>13</v>
      </c>
      <c r="DS207" s="202">
        <v>14</v>
      </c>
      <c r="DT207" s="202">
        <v>15</v>
      </c>
      <c r="DU207" s="202">
        <v>16</v>
      </c>
      <c r="DV207" s="202">
        <v>17</v>
      </c>
      <c r="DW207" s="202">
        <v>18</v>
      </c>
      <c r="DX207" s="202">
        <v>19</v>
      </c>
      <c r="DY207" s="202">
        <v>20</v>
      </c>
      <c r="DZ207" s="202">
        <v>21</v>
      </c>
      <c r="EA207" s="202">
        <v>22</v>
      </c>
      <c r="EB207" s="202">
        <v>23</v>
      </c>
      <c r="EC207" s="202">
        <v>24</v>
      </c>
      <c r="ED207" s="202">
        <v>25</v>
      </c>
      <c r="EE207" s="202">
        <v>26</v>
      </c>
      <c r="EF207" s="202">
        <v>27</v>
      </c>
      <c r="EG207" s="202">
        <v>28</v>
      </c>
      <c r="EH207" s="202">
        <v>29</v>
      </c>
      <c r="EI207" s="202">
        <v>30</v>
      </c>
      <c r="EJ207" s="202">
        <v>31</v>
      </c>
      <c r="EK207" s="202">
        <v>32</v>
      </c>
      <c r="EL207" s="202">
        <v>33</v>
      </c>
      <c r="EM207" s="202">
        <v>34</v>
      </c>
      <c r="EN207" s="202">
        <v>35</v>
      </c>
      <c r="EO207" s="202">
        <v>36</v>
      </c>
      <c r="EP207" s="202">
        <v>37</v>
      </c>
      <c r="EQ207" s="202">
        <v>38</v>
      </c>
      <c r="ER207" s="202">
        <v>39</v>
      </c>
      <c r="ES207" s="202">
        <v>40</v>
      </c>
      <c r="ET207" s="202">
        <v>41</v>
      </c>
      <c r="EU207" s="202">
        <v>42</v>
      </c>
      <c r="EV207" s="202">
        <v>43</v>
      </c>
      <c r="EW207" s="202">
        <v>44</v>
      </c>
      <c r="EX207" s="202">
        <v>45</v>
      </c>
      <c r="EY207" s="202">
        <v>46</v>
      </c>
      <c r="EZ207" s="202">
        <v>47</v>
      </c>
      <c r="FA207" s="202">
        <v>48</v>
      </c>
      <c r="FB207" s="202">
        <v>49</v>
      </c>
      <c r="FC207" s="202">
        <v>50</v>
      </c>
      <c r="FD207" s="202">
        <v>51</v>
      </c>
      <c r="FE207" s="202">
        <v>52</v>
      </c>
      <c r="FF207" s="202">
        <v>53</v>
      </c>
      <c r="FG207" s="202">
        <v>54</v>
      </c>
      <c r="FH207" s="202">
        <v>55</v>
      </c>
      <c r="FI207" s="202">
        <v>56</v>
      </c>
      <c r="FJ207" s="202">
        <v>57</v>
      </c>
      <c r="FK207" s="202">
        <v>58</v>
      </c>
      <c r="FL207" s="202">
        <v>59</v>
      </c>
      <c r="FM207" s="202">
        <v>60</v>
      </c>
      <c r="FN207" s="202">
        <v>61</v>
      </c>
      <c r="FO207" s="202">
        <v>62</v>
      </c>
      <c r="FP207" s="202">
        <v>63</v>
      </c>
      <c r="FQ207" s="202">
        <v>64</v>
      </c>
      <c r="FR207" s="202">
        <v>65</v>
      </c>
      <c r="FS207" s="202">
        <v>66</v>
      </c>
      <c r="FT207" s="202">
        <v>67</v>
      </c>
      <c r="FU207" s="202">
        <v>68</v>
      </c>
      <c r="FV207" s="202">
        <v>69</v>
      </c>
      <c r="FW207" s="202">
        <v>70</v>
      </c>
      <c r="FX207" s="202">
        <v>71</v>
      </c>
      <c r="FY207" s="202">
        <v>72</v>
      </c>
      <c r="FZ207" s="202">
        <v>73</v>
      </c>
      <c r="GA207" s="202">
        <v>74</v>
      </c>
      <c r="GB207" s="202">
        <v>75</v>
      </c>
      <c r="GC207" s="202">
        <v>76</v>
      </c>
      <c r="GD207" s="202">
        <v>77</v>
      </c>
      <c r="GE207" s="202">
        <v>78</v>
      </c>
      <c r="GF207" s="202">
        <v>79</v>
      </c>
      <c r="GG207" s="202">
        <v>80</v>
      </c>
      <c r="GH207" s="202">
        <v>81</v>
      </c>
      <c r="GI207" s="202">
        <v>82</v>
      </c>
      <c r="GJ207" s="202">
        <v>83</v>
      </c>
      <c r="GK207" s="202">
        <v>84</v>
      </c>
      <c r="GL207" s="202">
        <v>85</v>
      </c>
      <c r="GM207" s="202">
        <v>86</v>
      </c>
      <c r="GN207" s="202">
        <v>87</v>
      </c>
      <c r="GO207" s="202">
        <v>88</v>
      </c>
      <c r="GP207" s="202">
        <v>89</v>
      </c>
      <c r="GQ207" s="202">
        <v>90</v>
      </c>
      <c r="GR207" s="202">
        <v>91</v>
      </c>
      <c r="GS207" s="202">
        <v>92</v>
      </c>
      <c r="GT207" s="202">
        <v>93</v>
      </c>
      <c r="GU207" s="202">
        <v>94</v>
      </c>
      <c r="GV207" s="202">
        <v>95</v>
      </c>
      <c r="GW207" s="202">
        <v>96</v>
      </c>
      <c r="GX207" s="202">
        <v>97</v>
      </c>
      <c r="GY207" s="202">
        <v>98</v>
      </c>
      <c r="GZ207" s="202">
        <v>99</v>
      </c>
    </row>
    <row r="208" spans="110:208" ht="13.5" customHeight="1">
      <c r="DF208" s="202" t="s">
        <v>488</v>
      </c>
      <c r="DG208" s="202" t="s">
        <v>5</v>
      </c>
      <c r="DH208" s="202" t="s">
        <v>341</v>
      </c>
      <c r="DI208" s="202" t="s">
        <v>61</v>
      </c>
      <c r="DJ208" s="202" t="s">
        <v>92</v>
      </c>
      <c r="DK208" s="202" t="s">
        <v>307</v>
      </c>
      <c r="DL208" s="202" t="s">
        <v>230</v>
      </c>
      <c r="DM208" s="202" t="s">
        <v>196</v>
      </c>
      <c r="DN208" s="202" t="s">
        <v>68</v>
      </c>
      <c r="DO208" s="202" t="s">
        <v>165</v>
      </c>
      <c r="DP208" s="202" t="s">
        <v>131</v>
      </c>
      <c r="DQ208" s="202" t="s">
        <v>189</v>
      </c>
      <c r="DR208" s="202" t="s">
        <v>468</v>
      </c>
      <c r="DS208" s="202" t="s">
        <v>383</v>
      </c>
      <c r="DT208" s="202" t="s">
        <v>170</v>
      </c>
      <c r="DU208" s="202" t="s">
        <v>180</v>
      </c>
      <c r="DV208" s="202" t="s">
        <v>299</v>
      </c>
      <c r="DW208" s="202" t="s">
        <v>236</v>
      </c>
      <c r="DX208" s="202" t="s">
        <v>403</v>
      </c>
      <c r="DY208" s="202" t="s">
        <v>41</v>
      </c>
      <c r="DZ208" s="202" t="s">
        <v>482</v>
      </c>
      <c r="EA208" s="202" t="s">
        <v>248</v>
      </c>
      <c r="EB208" s="202" t="s">
        <v>441</v>
      </c>
      <c r="EC208" s="202" t="s">
        <v>9</v>
      </c>
      <c r="ED208" s="202" t="s">
        <v>149</v>
      </c>
      <c r="EE208" s="202" t="s">
        <v>251</v>
      </c>
      <c r="EF208" s="202" t="s">
        <v>567</v>
      </c>
      <c r="EG208" s="202" t="s">
        <v>220</v>
      </c>
      <c r="EH208" s="202" t="s">
        <v>231</v>
      </c>
      <c r="EI208" s="202" t="s">
        <v>276</v>
      </c>
      <c r="EJ208" s="202" t="s">
        <v>260</v>
      </c>
      <c r="EK208" s="202" t="s">
        <v>404</v>
      </c>
      <c r="EL208" s="202" t="s">
        <v>13</v>
      </c>
      <c r="EM208" s="202" t="s">
        <v>60</v>
      </c>
      <c r="EN208" s="202" t="s">
        <v>493</v>
      </c>
      <c r="EO208" s="202" t="s">
        <v>285</v>
      </c>
      <c r="EP208" s="202" t="s">
        <v>354</v>
      </c>
      <c r="EQ208" s="202" t="s">
        <v>406</v>
      </c>
      <c r="ER208" s="202" t="s">
        <v>63</v>
      </c>
      <c r="ES208" s="202" t="s">
        <v>506</v>
      </c>
      <c r="ET208" s="202" t="s">
        <v>508</v>
      </c>
      <c r="EU208" s="202" t="s">
        <v>0</v>
      </c>
      <c r="EV208" s="202" t="s">
        <v>175</v>
      </c>
      <c r="EW208" s="202" t="s">
        <v>188</v>
      </c>
      <c r="EX208" s="202" t="s">
        <v>86</v>
      </c>
      <c r="EY208" s="202" t="s">
        <v>284</v>
      </c>
      <c r="EZ208" s="202" t="s">
        <v>550</v>
      </c>
      <c r="FA208" s="202" t="s">
        <v>362</v>
      </c>
      <c r="FB208" s="202" t="s">
        <v>348</v>
      </c>
      <c r="FC208" s="202" t="s">
        <v>280</v>
      </c>
      <c r="FD208" s="202" t="s">
        <v>400</v>
      </c>
      <c r="FE208" s="202" t="s">
        <v>250</v>
      </c>
      <c r="FF208" s="202" t="s">
        <v>326</v>
      </c>
      <c r="FG208" s="202" t="s">
        <v>77</v>
      </c>
      <c r="FH208" s="202" t="s">
        <v>197</v>
      </c>
      <c r="FI208" s="202" t="s">
        <v>31</v>
      </c>
      <c r="FJ208" s="202" t="s">
        <v>224</v>
      </c>
      <c r="FK208" s="202" t="s">
        <v>530</v>
      </c>
      <c r="FL208" s="202" t="s">
        <v>312</v>
      </c>
      <c r="FM208" s="202" t="s">
        <v>174</v>
      </c>
      <c r="FN208" s="202" t="s">
        <v>392</v>
      </c>
      <c r="FO208" s="202" t="s">
        <v>470</v>
      </c>
      <c r="FP208" s="202" t="s">
        <v>490</v>
      </c>
      <c r="FQ208" s="202" t="s">
        <v>263</v>
      </c>
      <c r="FR208" s="202" t="s">
        <v>325</v>
      </c>
      <c r="FS208" s="202" t="s">
        <v>310</v>
      </c>
      <c r="FT208" s="202" t="s">
        <v>442</v>
      </c>
      <c r="FU208" s="202" t="s">
        <v>182</v>
      </c>
      <c r="FV208" s="202" t="s">
        <v>440</v>
      </c>
      <c r="FW208" s="202" t="s">
        <v>222</v>
      </c>
      <c r="FX208" s="202" t="s">
        <v>210</v>
      </c>
      <c r="FY208" s="202" t="s">
        <v>19</v>
      </c>
      <c r="FZ208" s="202" t="s">
        <v>117</v>
      </c>
      <c r="GA208" s="202" t="s">
        <v>294</v>
      </c>
      <c r="GB208" s="202" t="s">
        <v>409</v>
      </c>
      <c r="GC208" s="202" t="s">
        <v>328</v>
      </c>
      <c r="GD208" s="202" t="s">
        <v>241</v>
      </c>
      <c r="GE208" s="202" t="s">
        <v>546</v>
      </c>
      <c r="GF208" s="202" t="s">
        <v>44</v>
      </c>
      <c r="GG208" s="202" t="s">
        <v>479</v>
      </c>
      <c r="GH208" s="202" t="s">
        <v>253</v>
      </c>
      <c r="GI208" s="202" t="s">
        <v>146</v>
      </c>
      <c r="GJ208" s="202" t="s">
        <v>437</v>
      </c>
      <c r="GK208" s="202" t="s">
        <v>214</v>
      </c>
      <c r="GL208" s="202" t="s">
        <v>171</v>
      </c>
      <c r="GM208" s="202" t="s">
        <v>319</v>
      </c>
      <c r="GN208" s="202" t="s">
        <v>379</v>
      </c>
      <c r="GO208" s="202" t="s">
        <v>438</v>
      </c>
      <c r="GP208" s="202" t="s">
        <v>115</v>
      </c>
      <c r="GQ208" s="202" t="s">
        <v>213</v>
      </c>
      <c r="GR208" s="202" t="s">
        <v>258</v>
      </c>
      <c r="GS208" s="202" t="s">
        <v>49</v>
      </c>
      <c r="GT208" s="202" t="s">
        <v>303</v>
      </c>
      <c r="GU208" s="202" t="s">
        <v>487</v>
      </c>
      <c r="GV208" s="202" t="s">
        <v>46</v>
      </c>
      <c r="GW208" s="202" t="s">
        <v>154</v>
      </c>
      <c r="GX208" s="202" t="s">
        <v>33</v>
      </c>
      <c r="GY208" s="202" t="s">
        <v>145</v>
      </c>
      <c r="GZ208" s="202" t="s">
        <v>252</v>
      </c>
    </row>
    <row r="209" spans="113:118" ht="13.5" customHeight="1">
      <c r="DI209" s="202">
        <v>0</v>
      </c>
      <c r="DJ209" s="202">
        <v>70</v>
      </c>
      <c r="DK209" s="202">
        <v>6</v>
      </c>
      <c r="DL209" s="202">
        <v>95</v>
      </c>
      <c r="DM209" s="202">
        <v>2</v>
      </c>
      <c r="DN209" s="202">
        <v>6</v>
      </c>
    </row>
    <row r="210" spans="113:117" ht="13.5" customHeight="1">
      <c r="DI210" s="202"/>
      <c r="DJ210" s="202" t="s">
        <v>222</v>
      </c>
      <c r="DK210" s="202" t="s">
        <v>307</v>
      </c>
      <c r="DL210" s="202" t="s">
        <v>46</v>
      </c>
      <c r="DM210" s="202">
        <v>4</v>
      </c>
    </row>
    <row r="211" spans="113:115" ht="13.5" customHeight="1">
      <c r="DI211" s="202"/>
      <c r="DJ211" s="202" t="s">
        <v>153</v>
      </c>
      <c r="DK211" s="202" t="s">
        <v>322</v>
      </c>
    </row>
    <row r="213" spans="114:115" ht="18">
      <c r="DJ213" s="259">
        <v>70695</v>
      </c>
      <c r="DK213" s="260" t="s">
        <v>122</v>
      </c>
    </row>
  </sheetData>
  <sheetProtection/>
  <protectedRanges>
    <protectedRange sqref="B61:M65" name="Range1"/>
  </protectedRanges>
  <mergeCells count="57">
    <mergeCell ref="C2:G2"/>
    <mergeCell ref="H2:I2"/>
    <mergeCell ref="C3:G3"/>
    <mergeCell ref="H3:I3"/>
    <mergeCell ref="C4:D4"/>
    <mergeCell ref="E4:G4"/>
    <mergeCell ref="C5:D5"/>
    <mergeCell ref="C6:D6"/>
    <mergeCell ref="C7:D7"/>
    <mergeCell ref="C8:D8"/>
    <mergeCell ref="C9:D9"/>
    <mergeCell ref="C10:D10"/>
    <mergeCell ref="C11:D11"/>
    <mergeCell ref="C13:I13"/>
    <mergeCell ref="C15:I15"/>
    <mergeCell ref="C16:I16"/>
    <mergeCell ref="C17:I17"/>
    <mergeCell ref="C18:I18"/>
    <mergeCell ref="C19:I19"/>
    <mergeCell ref="C20:I20"/>
    <mergeCell ref="C21:I21"/>
    <mergeCell ref="C22:I22"/>
    <mergeCell ref="D23:I23"/>
    <mergeCell ref="D24:I24"/>
    <mergeCell ref="C25:G25"/>
    <mergeCell ref="B28:M28"/>
    <mergeCell ref="B29:M29"/>
    <mergeCell ref="C31:D31"/>
    <mergeCell ref="H31:I31"/>
    <mergeCell ref="L31:M31"/>
    <mergeCell ref="L41:M41"/>
    <mergeCell ref="C32:D32"/>
    <mergeCell ref="H32:I32"/>
    <mergeCell ref="L32:M32"/>
    <mergeCell ref="C33:D33"/>
    <mergeCell ref="H33:I33"/>
    <mergeCell ref="L33:M33"/>
    <mergeCell ref="L44:M44"/>
    <mergeCell ref="C45:D45"/>
    <mergeCell ref="H45:I45"/>
    <mergeCell ref="L45:M45"/>
    <mergeCell ref="B47:M50"/>
    <mergeCell ref="C39:D39"/>
    <mergeCell ref="H39:I39"/>
    <mergeCell ref="L39:M39"/>
    <mergeCell ref="C41:D41"/>
    <mergeCell ref="H41:I41"/>
    <mergeCell ref="E10:G10"/>
    <mergeCell ref="B61:M65"/>
    <mergeCell ref="B55:C55"/>
    <mergeCell ref="B56:C56"/>
    <mergeCell ref="D56:E56"/>
    <mergeCell ref="H56:K56"/>
    <mergeCell ref="H57:K57"/>
    <mergeCell ref="H46:I46"/>
    <mergeCell ref="C44:D44"/>
    <mergeCell ref="H44:I44"/>
  </mergeCells>
  <printOptions horizontalCentered="1"/>
  <pageMargins left="0.1968503937007874" right="0.1968503937007874" top="0.1968503937007874"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NDR</cp:lastModifiedBy>
  <cp:lastPrinted>2011-05-14T14:34:12Z</cp:lastPrinted>
  <dcterms:created xsi:type="dcterms:W3CDTF">2011-02-01T14:44:37Z</dcterms:created>
  <dcterms:modified xsi:type="dcterms:W3CDTF">2011-05-14T14:34:15Z</dcterms:modified>
  <cp:category/>
  <cp:version/>
  <cp:contentType/>
  <cp:contentStatus/>
</cp:coreProperties>
</file>